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965"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5">'W2'!$E$8:$E$40</definedName>
    <definedName name="Unit" localSheetId="6">'W3'!$E$8:$E$23</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<sst xmlns="http://schemas.openxmlformats.org/spreadsheetml/2006/main" count="1506" uniqueCount="646">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</sst>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T\r\ue\”;\“\T\r\ue\”;\“\F\a\lse\”"/>
    <numFmt numFmtId="183" formatCode="mm/dd/yyyy\ hh:mm:ss"/>
    <numFmt numFmtId="184" formatCode="0.0"/>
    <numFmt numFmtId="185" formatCode="0.0000"/>
    <numFmt numFmtId="186" formatCode="0.000"/>
    <numFmt numFmtId="187" formatCode="_(* #,##0.0_);_(* \(#,##0.0\);_(* &quot;-&quot;??_);_(@_)"/>
    <numFmt numFmtId="188" formatCode="_-* #,##0.0_-;\-* #,##0.0_-;_-* &quot;-&quot;?_-;_-@_-"/>
    <numFmt numFmtId="189" formatCode="_(* #,##0_);_(* \(#,##0\);_(* &quot;-&quot;??_);_(@_)"/>
    <numFmt numFmtId="190" formatCode="#,##0.0"/>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83"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4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184" fontId="8" fillId="0" borderId="27" xfId="0" applyNumberFormat="1" applyFont="1" applyFill="1" applyBorder="1" applyAlignment="1" applyProtection="1">
      <alignment horizontal="right" vertical="center" wrapText="1"/>
      <protection locked="0"/>
    </xf>
    <xf numFmtId="184" fontId="31" fillId="0" borderId="27" xfId="0" applyNumberFormat="1" applyFont="1" applyBorder="1" applyAlignment="1" applyProtection="1">
      <alignment horizontal="right" vertical="center" wrapText="1"/>
      <protection locked="0"/>
    </xf>
    <xf numFmtId="184" fontId="8" fillId="0" borderId="29" xfId="0" applyNumberFormat="1" applyFont="1" applyFill="1" applyBorder="1" applyAlignment="1" applyProtection="1">
      <alignment horizontal="right" vertical="center" wrapText="1"/>
      <protection locked="0"/>
    </xf>
    <xf numFmtId="184" fontId="31" fillId="0" borderId="27" xfId="0" applyNumberFormat="1" applyFont="1" applyFill="1" applyBorder="1" applyAlignment="1" applyProtection="1">
      <alignment horizontal="right" vertical="center" wrapText="1"/>
      <protection locked="0"/>
    </xf>
    <xf numFmtId="184" fontId="8" fillId="0" borderId="27" xfId="0" applyNumberFormat="1" applyFont="1" applyBorder="1" applyAlignment="1" applyProtection="1">
      <alignment horizontal="center" vertical="center" wrapText="1"/>
      <protection locked="0"/>
    </xf>
    <xf numFmtId="184" fontId="8" fillId="0" borderId="27" xfId="0" applyNumberFormat="1" applyFont="1" applyBorder="1" applyAlignment="1" applyProtection="1">
      <alignment horizontal="right" vertical="center" wrapText="1"/>
      <protection locked="0"/>
    </xf>
    <xf numFmtId="187" fontId="8" fillId="0" borderId="27" xfId="42" applyNumberFormat="1" applyFont="1" applyFill="1" applyBorder="1" applyAlignment="1" applyProtection="1">
      <alignment horizontal="right" vertical="center" wrapText="1"/>
      <protection locked="0"/>
    </xf>
    <xf numFmtId="187" fontId="31" fillId="0" borderId="27" xfId="42" applyNumberFormat="1" applyFont="1" applyFill="1" applyBorder="1" applyAlignment="1" applyProtection="1">
      <alignment horizontal="right" vertical="center" wrapText="1"/>
      <protection locked="0"/>
    </xf>
    <xf numFmtId="171" fontId="8" fillId="0" borderId="27" xfId="0" applyNumberFormat="1" applyFont="1" applyFill="1" applyBorder="1" applyAlignment="1" applyProtection="1">
      <alignment horizontal="center" vertical="center"/>
      <protection locked="0"/>
    </xf>
    <xf numFmtId="171" fontId="8" fillId="0" borderId="27" xfId="0" applyNumberFormat="1" applyFont="1" applyFill="1" applyBorder="1" applyAlignment="1" applyProtection="1">
      <alignment horizontal="center" vertical="center" wrapText="1"/>
      <protection locked="0"/>
    </xf>
    <xf numFmtId="187" fontId="8" fillId="0" borderId="27" xfId="42" applyNumberFormat="1" applyFont="1" applyFill="1" applyBorder="1" applyAlignment="1" applyProtection="1">
      <alignment horizontal="center" vertical="center" wrapText="1"/>
      <protection locked="0"/>
    </xf>
    <xf numFmtId="187" fontId="31" fillId="0" borderId="27" xfId="42" applyNumberFormat="1" applyFont="1" applyFill="1" applyBorder="1" applyAlignment="1" applyProtection="1">
      <alignment horizontal="left" vertical="center" wrapText="1"/>
      <protection locked="0"/>
    </xf>
    <xf numFmtId="187" fontId="8" fillId="0" borderId="28" xfId="42" applyNumberFormat="1" applyFont="1" applyFill="1" applyBorder="1" applyAlignment="1" applyProtection="1">
      <alignment horizontal="right" vertical="center" wrapText="1"/>
      <protection locked="0"/>
    </xf>
    <xf numFmtId="171" fontId="8" fillId="0" borderId="49" xfId="0" applyNumberFormat="1" applyFont="1" applyFill="1" applyBorder="1" applyAlignment="1" applyProtection="1">
      <alignment horizontal="center" vertical="center" wrapText="1"/>
      <protection locked="0"/>
    </xf>
    <xf numFmtId="187" fontId="8" fillId="0" borderId="29" xfId="42" applyNumberFormat="1" applyFont="1" applyFill="1" applyBorder="1" applyAlignment="1" applyProtection="1">
      <alignment horizontal="center" vertical="center" wrapText="1"/>
      <protection locked="0"/>
    </xf>
    <xf numFmtId="187" fontId="31" fillId="0" borderId="29" xfId="42" applyNumberFormat="1" applyFont="1" applyFill="1" applyBorder="1" applyAlignment="1" applyProtection="1">
      <alignment horizontal="left" vertical="center" wrapText="1"/>
      <protection locked="0"/>
    </xf>
    <xf numFmtId="190" fontId="8" fillId="0" borderId="49" xfId="0" applyNumberFormat="1" applyFont="1" applyBorder="1" applyAlignment="1" applyProtection="1">
      <alignment horizontal="center" vertical="center" wrapText="1"/>
      <protection locked="0"/>
    </xf>
    <xf numFmtId="190" fontId="8" fillId="37" borderId="27" xfId="0" applyNumberFormat="1" applyFont="1" applyFill="1" applyBorder="1" applyAlignment="1" applyProtection="1">
      <alignment horizontal="center" vertical="center" wrapText="1"/>
      <protection locked="0"/>
    </xf>
    <xf numFmtId="187" fontId="8" fillId="0" borderId="29" xfId="0" applyNumberFormat="1" applyFont="1" applyFill="1" applyBorder="1" applyAlignment="1" applyProtection="1">
      <alignment horizontal="center" vertical="center" wrapText="1"/>
      <protection locked="0"/>
    </xf>
    <xf numFmtId="187" fontId="8" fillId="0" borderId="49" xfId="0" applyNumberFormat="1" applyFont="1" applyFill="1" applyBorder="1" applyAlignment="1" applyProtection="1">
      <alignment horizontal="center" vertical="center" wrapText="1"/>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13" fillId="33"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36" borderId="52"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79"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81"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2"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3"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7" borderId="86"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36" borderId="52" xfId="0"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36" borderId="80"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2" xfId="0" applyFont="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9" fillId="0" borderId="0" xfId="0" applyFont="1" applyFill="1" applyBorder="1" applyAlignment="1">
      <alignment wrapText="1"/>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79" xfId="0" applyFill="1" applyBorder="1" applyAlignment="1" applyProtection="1">
      <alignment vertical="center" wrapText="1"/>
      <protection/>
    </xf>
    <xf numFmtId="0" fontId="8" fillId="5" borderId="80"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1"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0" fillId="0" borderId="35" xfId="0" applyBorder="1" applyAlignment="1">
      <alignment horizontal="center" vertical="center" wrapText="1"/>
    </xf>
    <xf numFmtId="0" fontId="0" fillId="0" borderId="81"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3" borderId="80"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8" xfId="0" applyBorder="1" applyAlignment="1" applyProtection="1">
      <alignment wrapText="1"/>
      <protection locked="0"/>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8782050"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5750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4842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401002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295275</xdr:colOff>
      <xdr:row>11</xdr:row>
      <xdr:rowOff>200025</xdr:rowOff>
    </xdr:to>
    <xdr:sp>
      <xdr:nvSpPr>
        <xdr:cNvPr id="5" name="Line 14"/>
        <xdr:cNvSpPr>
          <a:spLocks/>
        </xdr:cNvSpPr>
      </xdr:nvSpPr>
      <xdr:spPr>
        <a:xfrm flipV="1">
          <a:off x="4000500" y="2838450"/>
          <a:ext cx="14763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80072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484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447675</xdr:colOff>
      <xdr:row>7</xdr:row>
      <xdr:rowOff>9525</xdr:rowOff>
    </xdr:from>
    <xdr:to>
      <xdr:col>6</xdr:col>
      <xdr:colOff>447675</xdr:colOff>
      <xdr:row>9</xdr:row>
      <xdr:rowOff>0</xdr:rowOff>
    </xdr:to>
    <xdr:sp>
      <xdr:nvSpPr>
        <xdr:cNvPr id="12" name="Line 203"/>
        <xdr:cNvSpPr>
          <a:spLocks/>
        </xdr:cNvSpPr>
      </xdr:nvSpPr>
      <xdr:spPr>
        <a:xfrm flipV="1">
          <a:off x="4438650" y="16859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19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575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0</xdr:rowOff>
    </xdr:to>
    <xdr:sp>
      <xdr:nvSpPr>
        <xdr:cNvPr id="15" name="Line 206"/>
        <xdr:cNvSpPr>
          <a:spLocks/>
        </xdr:cNvSpPr>
      </xdr:nvSpPr>
      <xdr:spPr>
        <a:xfrm>
          <a:off x="828675" y="40100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38100</xdr:rowOff>
    </xdr:to>
    <xdr:sp>
      <xdr:nvSpPr>
        <xdr:cNvPr id="16" name="Line 207"/>
        <xdr:cNvSpPr>
          <a:spLocks/>
        </xdr:cNvSpPr>
      </xdr:nvSpPr>
      <xdr:spPr>
        <a:xfrm>
          <a:off x="194310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15</xdr:row>
      <xdr:rowOff>200025</xdr:rowOff>
    </xdr:from>
    <xdr:to>
      <xdr:col>6</xdr:col>
      <xdr:colOff>552450</xdr:colOff>
      <xdr:row>16</xdr:row>
      <xdr:rowOff>38100</xdr:rowOff>
    </xdr:to>
    <xdr:sp>
      <xdr:nvSpPr>
        <xdr:cNvPr id="18" name="Line 209"/>
        <xdr:cNvSpPr>
          <a:spLocks/>
        </xdr:cNvSpPr>
      </xdr:nvSpPr>
      <xdr:spPr>
        <a:xfrm flipH="1">
          <a:off x="4543425"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2467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16</xdr:row>
      <xdr:rowOff>1066800</xdr:rowOff>
    </xdr:from>
    <xdr:to>
      <xdr:col>7</xdr:col>
      <xdr:colOff>552450</xdr:colOff>
      <xdr:row>18</xdr:row>
      <xdr:rowOff>9525</xdr:rowOff>
    </xdr:to>
    <xdr:sp>
      <xdr:nvSpPr>
        <xdr:cNvPr id="25" name="Line 216"/>
        <xdr:cNvSpPr>
          <a:spLocks/>
        </xdr:cNvSpPr>
      </xdr:nvSpPr>
      <xdr:spPr>
        <a:xfrm flipH="1">
          <a:off x="57340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342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628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6755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485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96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202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29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8</xdr:col>
      <xdr:colOff>19050</xdr:colOff>
      <xdr:row>10</xdr:row>
      <xdr:rowOff>152400</xdr:rowOff>
    </xdr:to>
    <xdr:sp>
      <xdr:nvSpPr>
        <xdr:cNvPr id="37" name="Line 14"/>
        <xdr:cNvSpPr>
          <a:spLocks/>
        </xdr:cNvSpPr>
      </xdr:nvSpPr>
      <xdr:spPr>
        <a:xfrm flipV="1">
          <a:off x="5457825" y="2400300"/>
          <a:ext cx="933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276225</xdr:colOff>
      <xdr:row>10</xdr:row>
      <xdr:rowOff>142875</xdr:rowOff>
    </xdr:from>
    <xdr:to>
      <xdr:col>7</xdr:col>
      <xdr:colOff>276225</xdr:colOff>
      <xdr:row>12</xdr:row>
      <xdr:rowOff>180975</xdr:rowOff>
    </xdr:to>
    <xdr:sp>
      <xdr:nvSpPr>
        <xdr:cNvPr id="38" name="Line 14"/>
        <xdr:cNvSpPr>
          <a:spLocks/>
        </xdr:cNvSpPr>
      </xdr:nvSpPr>
      <xdr:spPr>
        <a:xfrm flipV="1">
          <a:off x="5457825" y="240030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12</xdr:row>
      <xdr:rowOff>161925</xdr:rowOff>
    </xdr:from>
    <xdr:to>
      <xdr:col>7</xdr:col>
      <xdr:colOff>1162050</xdr:colOff>
      <xdr:row>12</xdr:row>
      <xdr:rowOff>171450</xdr:rowOff>
    </xdr:to>
    <xdr:sp>
      <xdr:nvSpPr>
        <xdr:cNvPr id="39" name="Line 14"/>
        <xdr:cNvSpPr>
          <a:spLocks/>
        </xdr:cNvSpPr>
      </xdr:nvSpPr>
      <xdr:spPr>
        <a:xfrm flipV="1">
          <a:off x="5476875" y="339090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687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674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153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86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1980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7697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7697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6485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058025"/>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2955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3439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8966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247650</xdr:colOff>
      <xdr:row>54</xdr:row>
      <xdr:rowOff>142875</xdr:rowOff>
    </xdr:to>
    <xdr:sp>
      <xdr:nvSpPr>
        <xdr:cNvPr id="2" name="Line 21"/>
        <xdr:cNvSpPr>
          <a:spLocks/>
        </xdr:cNvSpPr>
      </xdr:nvSpPr>
      <xdr:spPr>
        <a:xfrm flipV="1">
          <a:off x="3048000" y="113061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238125</xdr:colOff>
      <xdr:row>56</xdr:row>
      <xdr:rowOff>152400</xdr:rowOff>
    </xdr:to>
    <xdr:sp>
      <xdr:nvSpPr>
        <xdr:cNvPr id="3" name="Line 21"/>
        <xdr:cNvSpPr>
          <a:spLocks/>
        </xdr:cNvSpPr>
      </xdr:nvSpPr>
      <xdr:spPr>
        <a:xfrm flipV="1">
          <a:off x="3038475" y="117824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48000" y="130683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247650</xdr:colOff>
      <xdr:row>64</xdr:row>
      <xdr:rowOff>180975</xdr:rowOff>
    </xdr:to>
    <xdr:sp>
      <xdr:nvSpPr>
        <xdr:cNvPr id="5" name="Line 21"/>
        <xdr:cNvSpPr>
          <a:spLocks/>
        </xdr:cNvSpPr>
      </xdr:nvSpPr>
      <xdr:spPr>
        <a:xfrm flipV="1">
          <a:off x="3048000" y="134969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9255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363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38225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1252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7919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26832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6586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58227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601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17282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1443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582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820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0016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4016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6205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238125</xdr:colOff>
      <xdr:row>58</xdr:row>
      <xdr:rowOff>180975</xdr:rowOff>
    </xdr:to>
    <xdr:sp>
      <xdr:nvSpPr>
        <xdr:cNvPr id="24" name="Line 21"/>
        <xdr:cNvSpPr>
          <a:spLocks/>
        </xdr:cNvSpPr>
      </xdr:nvSpPr>
      <xdr:spPr>
        <a:xfrm flipV="1">
          <a:off x="3038475" y="12220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247650</xdr:colOff>
      <xdr:row>60</xdr:row>
      <xdr:rowOff>180975</xdr:rowOff>
    </xdr:to>
    <xdr:sp>
      <xdr:nvSpPr>
        <xdr:cNvPr id="25" name="Line 21"/>
        <xdr:cNvSpPr>
          <a:spLocks/>
        </xdr:cNvSpPr>
      </xdr:nvSpPr>
      <xdr:spPr>
        <a:xfrm flipV="1">
          <a:off x="3048000" y="12658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2014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6967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84885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29" name="Line 21"/>
        <xdr:cNvSpPr>
          <a:spLocks/>
        </xdr:cNvSpPr>
      </xdr:nvSpPr>
      <xdr:spPr>
        <a:xfrm flipV="1">
          <a:off x="1581150" y="10401300"/>
          <a:ext cx="14763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03935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7343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33</xdr:row>
      <xdr:rowOff>314325</xdr:rowOff>
    </xdr:from>
    <xdr:to>
      <xdr:col>5</xdr:col>
      <xdr:colOff>238125</xdr:colOff>
      <xdr:row>41</xdr:row>
      <xdr:rowOff>295275</xdr:rowOff>
    </xdr:to>
    <xdr:sp>
      <xdr:nvSpPr>
        <xdr:cNvPr id="2" name="Line 16"/>
        <xdr:cNvSpPr>
          <a:spLocks/>
        </xdr:cNvSpPr>
      </xdr:nvSpPr>
      <xdr:spPr>
        <a:xfrm>
          <a:off x="4029075" y="7734300"/>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8029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818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81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6390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53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115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964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210425" y="7991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630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874395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038475" y="7439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238125</xdr:colOff>
      <xdr:row>37</xdr:row>
      <xdr:rowOff>123825</xdr:rowOff>
    </xdr:to>
    <xdr:sp>
      <xdr:nvSpPr>
        <xdr:cNvPr id="3" name="Line 18"/>
        <xdr:cNvSpPr>
          <a:spLocks/>
        </xdr:cNvSpPr>
      </xdr:nvSpPr>
      <xdr:spPr>
        <a:xfrm flipH="1" flipV="1">
          <a:off x="3038475" y="83820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038475" y="8858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238125</xdr:colOff>
      <xdr:row>43</xdr:row>
      <xdr:rowOff>123825</xdr:rowOff>
    </xdr:to>
    <xdr:sp>
      <xdr:nvSpPr>
        <xdr:cNvPr id="5" name="Line 18"/>
        <xdr:cNvSpPr>
          <a:spLocks/>
        </xdr:cNvSpPr>
      </xdr:nvSpPr>
      <xdr:spPr>
        <a:xfrm flipH="1" flipV="1">
          <a:off x="3038475" y="98679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3048000" y="10325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33</xdr:row>
      <xdr:rowOff>114300</xdr:rowOff>
    </xdr:from>
    <xdr:to>
      <xdr:col>4</xdr:col>
      <xdr:colOff>238125</xdr:colOff>
      <xdr:row>45</xdr:row>
      <xdr:rowOff>123825</xdr:rowOff>
    </xdr:to>
    <xdr:sp>
      <xdr:nvSpPr>
        <xdr:cNvPr id="7" name="Line 18"/>
        <xdr:cNvSpPr>
          <a:spLocks/>
        </xdr:cNvSpPr>
      </xdr:nvSpPr>
      <xdr:spPr>
        <a:xfrm flipH="1">
          <a:off x="3276600" y="74295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87439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751522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75152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67600" y="84201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67600" y="9439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48550" y="1035367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238125</xdr:colOff>
      <xdr:row>35</xdr:row>
      <xdr:rowOff>190500</xdr:rowOff>
    </xdr:to>
    <xdr:sp>
      <xdr:nvSpPr>
        <xdr:cNvPr id="14" name="Line 18"/>
        <xdr:cNvSpPr>
          <a:spLocks/>
        </xdr:cNvSpPr>
      </xdr:nvSpPr>
      <xdr:spPr>
        <a:xfrm flipH="1" flipV="1">
          <a:off x="3028950" y="7991475"/>
          <a:ext cx="2476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3048000" y="9439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63" t="s">
        <v>589</v>
      </c>
      <c r="C7" s="763"/>
      <c r="D7" s="763"/>
      <c r="E7" s="763"/>
      <c r="F7" s="763"/>
      <c r="G7" s="763"/>
      <c r="H7" s="763"/>
      <c r="I7" s="763"/>
      <c r="J7" s="763"/>
      <c r="K7" s="763"/>
      <c r="L7" s="763"/>
      <c r="M7" s="763"/>
    </row>
    <row r="8" spans="2:13" ht="24.75" customHeight="1">
      <c r="B8" s="764" t="s">
        <v>644</v>
      </c>
      <c r="C8" s="764"/>
      <c r="D8" s="764"/>
      <c r="E8" s="764"/>
      <c r="F8" s="764"/>
      <c r="G8" s="764"/>
      <c r="H8" s="764"/>
      <c r="I8" s="764"/>
      <c r="J8" s="764"/>
      <c r="K8" s="764"/>
      <c r="L8" s="764"/>
      <c r="M8" s="764"/>
    </row>
    <row r="10" spans="2:4" ht="18">
      <c r="B10" s="116" t="s">
        <v>294</v>
      </c>
      <c r="C10" s="117"/>
      <c r="D10" s="3"/>
    </row>
    <row r="11" spans="2:4" ht="10.5" customHeight="1">
      <c r="B11" s="4"/>
      <c r="C11" s="3"/>
      <c r="D11" s="3"/>
    </row>
    <row r="12" spans="1:13" s="17" customFormat="1" ht="16.5" customHeight="1">
      <c r="A12" s="18"/>
      <c r="B12" s="765" t="s">
        <v>301</v>
      </c>
      <c r="C12" s="765"/>
      <c r="D12" s="765"/>
      <c r="E12" s="765"/>
      <c r="F12" s="765"/>
      <c r="G12" s="765"/>
      <c r="H12" s="765"/>
      <c r="I12" s="765"/>
      <c r="J12" s="765"/>
      <c r="K12" s="765"/>
      <c r="L12" s="765"/>
      <c r="M12" s="765"/>
    </row>
    <row r="13" spans="2:13" ht="10.5" customHeight="1">
      <c r="B13" s="118"/>
      <c r="C13" s="119"/>
      <c r="D13" s="118"/>
      <c r="E13" s="10"/>
      <c r="F13" s="118"/>
      <c r="G13" s="53"/>
      <c r="H13" s="53"/>
      <c r="I13" s="53"/>
      <c r="J13" s="53"/>
      <c r="K13" s="53"/>
      <c r="L13" s="561"/>
      <c r="M13" s="562"/>
    </row>
    <row r="14" spans="2:11" ht="15.75" customHeight="1">
      <c r="B14" s="120" t="s">
        <v>302</v>
      </c>
      <c r="C14" s="766" t="s">
        <v>488</v>
      </c>
      <c r="D14" s="766"/>
      <c r="E14" s="766"/>
      <c r="F14" s="766"/>
      <c r="G14" s="766"/>
      <c r="H14" s="766"/>
      <c r="I14" s="766"/>
      <c r="J14" s="766"/>
      <c r="K14" s="766"/>
    </row>
    <row r="15" spans="2:11" ht="7.5" customHeight="1">
      <c r="B15" s="121"/>
      <c r="C15" s="759"/>
      <c r="D15" s="760"/>
      <c r="E15" s="760"/>
      <c r="F15" s="760"/>
      <c r="G15" s="760"/>
      <c r="H15" s="760"/>
      <c r="I15" s="760"/>
      <c r="J15" s="760"/>
      <c r="K15" s="761"/>
    </row>
    <row r="16" spans="2:11" ht="15.75" customHeight="1">
      <c r="B16" s="121" t="s">
        <v>303</v>
      </c>
      <c r="C16" s="759" t="s">
        <v>305</v>
      </c>
      <c r="D16" s="760"/>
      <c r="E16" s="760"/>
      <c r="F16" s="760"/>
      <c r="G16" s="760"/>
      <c r="H16" s="760"/>
      <c r="I16" s="760"/>
      <c r="J16" s="760"/>
      <c r="K16" s="761"/>
    </row>
    <row r="17" spans="2:11" ht="7.5" customHeight="1">
      <c r="B17" s="121"/>
      <c r="C17" s="759"/>
      <c r="D17" s="760"/>
      <c r="E17" s="760"/>
      <c r="F17" s="760"/>
      <c r="G17" s="760"/>
      <c r="H17" s="760"/>
      <c r="I17" s="760"/>
      <c r="J17" s="760"/>
      <c r="K17" s="761"/>
    </row>
    <row r="18" spans="2:12" ht="15.75" customHeight="1">
      <c r="B18" s="121" t="s">
        <v>306</v>
      </c>
      <c r="C18" s="759" t="s">
        <v>140</v>
      </c>
      <c r="D18" s="762"/>
      <c r="E18" s="762"/>
      <c r="F18" s="762"/>
      <c r="G18" s="762"/>
      <c r="H18" s="762"/>
      <c r="I18" s="762"/>
      <c r="J18" s="762"/>
      <c r="K18" s="762"/>
      <c r="L18" s="89" t="s">
        <v>75</v>
      </c>
    </row>
    <row r="19" spans="2:11" ht="7.5" customHeight="1">
      <c r="B19" s="121"/>
      <c r="C19" s="759"/>
      <c r="D19" s="760"/>
      <c r="E19" s="760"/>
      <c r="F19" s="760"/>
      <c r="G19" s="760"/>
      <c r="H19" s="760"/>
      <c r="I19" s="760"/>
      <c r="J19" s="760"/>
      <c r="K19" s="761"/>
    </row>
    <row r="20" spans="2:12" ht="15.75" customHeight="1">
      <c r="B20" s="121" t="s">
        <v>307</v>
      </c>
      <c r="C20" s="759" t="s">
        <v>83</v>
      </c>
      <c r="D20" s="762"/>
      <c r="E20" s="762"/>
      <c r="F20" s="762"/>
      <c r="G20" s="762"/>
      <c r="H20" s="762"/>
      <c r="I20" s="762"/>
      <c r="J20" s="762"/>
      <c r="K20" s="762"/>
      <c r="L20" s="89" t="s">
        <v>291</v>
      </c>
    </row>
    <row r="21" spans="2:11" ht="7.5" customHeight="1">
      <c r="B21" s="121"/>
      <c r="C21" s="759"/>
      <c r="D21" s="760"/>
      <c r="E21" s="760"/>
      <c r="F21" s="760"/>
      <c r="G21" s="760"/>
      <c r="H21" s="760"/>
      <c r="I21" s="760"/>
      <c r="J21" s="760"/>
      <c r="K21" s="761"/>
    </row>
    <row r="22" spans="2:12" ht="15.75" customHeight="1">
      <c r="B22" s="121" t="s">
        <v>308</v>
      </c>
      <c r="C22" s="759" t="s">
        <v>48</v>
      </c>
      <c r="D22" s="762"/>
      <c r="E22" s="762"/>
      <c r="F22" s="762"/>
      <c r="G22" s="762"/>
      <c r="H22" s="762"/>
      <c r="I22" s="762"/>
      <c r="J22" s="762"/>
      <c r="K22" s="762"/>
      <c r="L22" s="89" t="s">
        <v>79</v>
      </c>
    </row>
    <row r="23" spans="2:11" ht="7.5" customHeight="1">
      <c r="B23" s="121"/>
      <c r="C23" s="759"/>
      <c r="D23" s="760"/>
      <c r="E23" s="760"/>
      <c r="F23" s="760"/>
      <c r="G23" s="760"/>
      <c r="H23" s="760"/>
      <c r="I23" s="760"/>
      <c r="J23" s="760"/>
      <c r="K23" s="761"/>
    </row>
    <row r="24" spans="2:12" ht="15.75" customHeight="1">
      <c r="B24" s="121" t="s">
        <v>263</v>
      </c>
      <c r="C24" s="759" t="s">
        <v>84</v>
      </c>
      <c r="D24" s="760"/>
      <c r="E24" s="760"/>
      <c r="F24" s="760"/>
      <c r="G24" s="760"/>
      <c r="H24" s="760"/>
      <c r="I24" s="760"/>
      <c r="J24" s="760"/>
      <c r="K24" s="761"/>
      <c r="L24" s="89" t="s">
        <v>34</v>
      </c>
    </row>
    <row r="25" spans="2:11" ht="7.5" customHeight="1">
      <c r="B25" s="121"/>
      <c r="C25" s="759"/>
      <c r="D25" s="760"/>
      <c r="E25" s="760"/>
      <c r="F25" s="760"/>
      <c r="G25" s="760"/>
      <c r="H25" s="760"/>
      <c r="I25" s="760"/>
      <c r="J25" s="760"/>
      <c r="K25" s="761"/>
    </row>
    <row r="26" spans="2:12" ht="15.75" customHeight="1">
      <c r="B26" s="121" t="s">
        <v>315</v>
      </c>
      <c r="C26" s="759" t="s">
        <v>141</v>
      </c>
      <c r="D26" s="762"/>
      <c r="E26" s="762"/>
      <c r="F26" s="762"/>
      <c r="G26" s="762"/>
      <c r="H26" s="762"/>
      <c r="I26" s="762"/>
      <c r="J26" s="762"/>
      <c r="K26" s="762"/>
      <c r="L26" s="89" t="s">
        <v>80</v>
      </c>
    </row>
    <row r="27" spans="2:11" ht="7.5" customHeight="1">
      <c r="B27" s="121"/>
      <c r="C27" s="759"/>
      <c r="D27" s="760"/>
      <c r="E27" s="760"/>
      <c r="F27" s="760"/>
      <c r="G27" s="760"/>
      <c r="H27" s="760"/>
      <c r="I27" s="760"/>
      <c r="J27" s="760"/>
      <c r="K27" s="761"/>
    </row>
    <row r="28" spans="2:11" ht="15.75" customHeight="1">
      <c r="B28" s="121" t="s">
        <v>264</v>
      </c>
      <c r="C28" s="759" t="s">
        <v>132</v>
      </c>
      <c r="D28" s="760"/>
      <c r="E28" s="760"/>
      <c r="F28" s="760"/>
      <c r="G28" s="760"/>
      <c r="H28" s="760"/>
      <c r="I28" s="760"/>
      <c r="J28" s="760"/>
      <c r="K28" s="761"/>
    </row>
    <row r="29" spans="2:13" s="7" customFormat="1" ht="15">
      <c r="B29" s="12"/>
      <c r="C29" s="758"/>
      <c r="D29" s="758"/>
      <c r="E29" s="758"/>
      <c r="F29" s="758"/>
      <c r="G29" s="758"/>
      <c r="H29" s="758"/>
      <c r="I29" s="758"/>
      <c r="J29" s="758"/>
      <c r="K29" s="758"/>
      <c r="L29" s="563"/>
      <c r="M29" s="564"/>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C1" sqref="C1"/>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5">
      <c r="C3" s="28" t="s">
        <v>296</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40" t="s">
        <v>198</v>
      </c>
      <c r="D5" s="941"/>
      <c r="E5" s="941"/>
      <c r="F5" s="941"/>
      <c r="G5" s="941"/>
      <c r="H5" s="941"/>
      <c r="I5" s="941"/>
      <c r="J5" s="941"/>
      <c r="K5" s="941"/>
      <c r="L5" s="941"/>
      <c r="M5" s="941"/>
      <c r="N5" s="26"/>
      <c r="O5" s="26"/>
      <c r="P5" s="26"/>
    </row>
    <row r="6" ht="9.75" customHeight="1"/>
    <row r="7" spans="3:16" ht="17.25" customHeight="1">
      <c r="C7" s="937" t="s">
        <v>11</v>
      </c>
      <c r="D7" s="938"/>
      <c r="E7" s="938"/>
      <c r="F7" s="938"/>
      <c r="G7" s="938"/>
      <c r="H7" s="938"/>
      <c r="I7" s="938"/>
      <c r="J7" s="938"/>
      <c r="K7" s="938"/>
      <c r="L7" s="938"/>
      <c r="M7" s="938"/>
      <c r="N7" s="938"/>
      <c r="O7" s="938"/>
      <c r="P7" s="939"/>
    </row>
    <row r="8" spans="3:16" ht="25.5" customHeight="1">
      <c r="C8" s="945"/>
      <c r="D8" s="946"/>
      <c r="E8" s="946"/>
      <c r="F8" s="946"/>
      <c r="G8" s="946"/>
      <c r="H8" s="946"/>
      <c r="I8" s="946"/>
      <c r="J8" s="946"/>
      <c r="K8" s="946"/>
      <c r="L8" s="946"/>
      <c r="M8" s="946"/>
      <c r="N8" s="946"/>
      <c r="O8" s="946"/>
      <c r="P8" s="947"/>
    </row>
    <row r="9" spans="3:16" ht="39" customHeight="1">
      <c r="C9" s="942" t="s">
        <v>252</v>
      </c>
      <c r="D9" s="943"/>
      <c r="E9" s="943"/>
      <c r="F9" s="943"/>
      <c r="G9" s="943"/>
      <c r="H9" s="943"/>
      <c r="I9" s="943"/>
      <c r="J9" s="943"/>
      <c r="K9" s="943"/>
      <c r="L9" s="943"/>
      <c r="M9" s="943"/>
      <c r="N9" s="943"/>
      <c r="O9" s="943"/>
      <c r="P9" s="944"/>
    </row>
    <row r="10" spans="3:16" ht="15" customHeight="1">
      <c r="C10" s="927"/>
      <c r="D10" s="928"/>
      <c r="E10" s="928"/>
      <c r="F10" s="928"/>
      <c r="G10" s="928"/>
      <c r="H10" s="928"/>
      <c r="I10" s="928"/>
      <c r="J10" s="928"/>
      <c r="K10" s="928"/>
      <c r="L10" s="928"/>
      <c r="M10" s="928"/>
      <c r="N10" s="928"/>
      <c r="O10" s="928"/>
      <c r="P10" s="929"/>
    </row>
    <row r="11" spans="3:16" ht="15" customHeight="1">
      <c r="C11" s="927"/>
      <c r="D11" s="928"/>
      <c r="E11" s="928"/>
      <c r="F11" s="928"/>
      <c r="G11" s="928"/>
      <c r="H11" s="928"/>
      <c r="I11" s="928"/>
      <c r="J11" s="928"/>
      <c r="K11" s="928"/>
      <c r="L11" s="928"/>
      <c r="M11" s="928"/>
      <c r="N11" s="928"/>
      <c r="O11" s="928"/>
      <c r="P11" s="929"/>
    </row>
    <row r="12" spans="3:16" ht="15" customHeight="1">
      <c r="C12" s="927"/>
      <c r="D12" s="928"/>
      <c r="E12" s="928"/>
      <c r="F12" s="928"/>
      <c r="G12" s="928"/>
      <c r="H12" s="928"/>
      <c r="I12" s="928"/>
      <c r="J12" s="928"/>
      <c r="K12" s="928"/>
      <c r="L12" s="928"/>
      <c r="M12" s="928"/>
      <c r="N12" s="928"/>
      <c r="O12" s="928"/>
      <c r="P12" s="929"/>
    </row>
    <row r="13" spans="3:16" ht="15" customHeight="1">
      <c r="C13" s="927"/>
      <c r="D13" s="930"/>
      <c r="E13" s="930"/>
      <c r="F13" s="930"/>
      <c r="G13" s="930"/>
      <c r="H13" s="930"/>
      <c r="I13" s="930"/>
      <c r="J13" s="930"/>
      <c r="K13" s="930"/>
      <c r="L13" s="930"/>
      <c r="M13" s="930"/>
      <c r="N13" s="930"/>
      <c r="O13" s="930"/>
      <c r="P13" s="931"/>
    </row>
    <row r="14" spans="3:16" ht="15" customHeight="1">
      <c r="C14" s="927"/>
      <c r="D14" s="928"/>
      <c r="E14" s="928"/>
      <c r="F14" s="928"/>
      <c r="G14" s="928"/>
      <c r="H14" s="928"/>
      <c r="I14" s="928"/>
      <c r="J14" s="928"/>
      <c r="K14" s="928"/>
      <c r="L14" s="928"/>
      <c r="M14" s="928"/>
      <c r="N14" s="928"/>
      <c r="O14" s="928"/>
      <c r="P14" s="929"/>
    </row>
    <row r="15" spans="3:16" ht="15" customHeight="1">
      <c r="C15" s="927"/>
      <c r="D15" s="928"/>
      <c r="E15" s="928"/>
      <c r="F15" s="928"/>
      <c r="G15" s="928"/>
      <c r="H15" s="928"/>
      <c r="I15" s="928"/>
      <c r="J15" s="928"/>
      <c r="K15" s="928"/>
      <c r="L15" s="928"/>
      <c r="M15" s="928"/>
      <c r="N15" s="928"/>
      <c r="O15" s="928"/>
      <c r="P15" s="929"/>
    </row>
    <row r="16" spans="3:16" ht="15" customHeight="1">
      <c r="C16" s="927"/>
      <c r="D16" s="928"/>
      <c r="E16" s="928"/>
      <c r="F16" s="928"/>
      <c r="G16" s="928"/>
      <c r="H16" s="928"/>
      <c r="I16" s="928"/>
      <c r="J16" s="928"/>
      <c r="K16" s="928"/>
      <c r="L16" s="928"/>
      <c r="M16" s="928"/>
      <c r="N16" s="928"/>
      <c r="O16" s="928"/>
      <c r="P16" s="929"/>
    </row>
    <row r="17" spans="3:16" ht="15" customHeight="1">
      <c r="C17" s="927"/>
      <c r="D17" s="930"/>
      <c r="E17" s="930"/>
      <c r="F17" s="930"/>
      <c r="G17" s="930"/>
      <c r="H17" s="930"/>
      <c r="I17" s="930"/>
      <c r="J17" s="930"/>
      <c r="K17" s="930"/>
      <c r="L17" s="930"/>
      <c r="M17" s="930"/>
      <c r="N17" s="930"/>
      <c r="O17" s="930"/>
      <c r="P17" s="931"/>
    </row>
    <row r="18" spans="3:16" ht="15" customHeight="1">
      <c r="C18" s="927"/>
      <c r="D18" s="930"/>
      <c r="E18" s="930"/>
      <c r="F18" s="930"/>
      <c r="G18" s="930"/>
      <c r="H18" s="930"/>
      <c r="I18" s="930"/>
      <c r="J18" s="930"/>
      <c r="K18" s="930"/>
      <c r="L18" s="930"/>
      <c r="M18" s="930"/>
      <c r="N18" s="930"/>
      <c r="O18" s="930"/>
      <c r="P18" s="931"/>
    </row>
    <row r="19" spans="3:16" ht="15" customHeight="1">
      <c r="C19" s="937" t="s">
        <v>43</v>
      </c>
      <c r="D19" s="938"/>
      <c r="E19" s="938"/>
      <c r="F19" s="938"/>
      <c r="G19" s="938"/>
      <c r="H19" s="938"/>
      <c r="I19" s="938"/>
      <c r="J19" s="938"/>
      <c r="K19" s="938"/>
      <c r="L19" s="938"/>
      <c r="M19" s="938"/>
      <c r="N19" s="938"/>
      <c r="O19" s="938"/>
      <c r="P19" s="939"/>
    </row>
    <row r="20" spans="3:16" ht="15" customHeight="1">
      <c r="C20" s="927"/>
      <c r="D20" s="932"/>
      <c r="E20" s="932"/>
      <c r="F20" s="932"/>
      <c r="G20" s="932"/>
      <c r="H20" s="932"/>
      <c r="I20" s="932"/>
      <c r="J20" s="932"/>
      <c r="K20" s="932"/>
      <c r="L20" s="932"/>
      <c r="M20" s="932"/>
      <c r="N20" s="932"/>
      <c r="O20" s="932"/>
      <c r="P20" s="933"/>
    </row>
    <row r="21" spans="3:16" ht="15" customHeight="1">
      <c r="C21" s="927"/>
      <c r="D21" s="932"/>
      <c r="E21" s="932"/>
      <c r="F21" s="932"/>
      <c r="G21" s="932"/>
      <c r="H21" s="932"/>
      <c r="I21" s="932"/>
      <c r="J21" s="932"/>
      <c r="K21" s="932"/>
      <c r="L21" s="932"/>
      <c r="M21" s="932"/>
      <c r="N21" s="932"/>
      <c r="O21" s="932"/>
      <c r="P21" s="933"/>
    </row>
    <row r="22" spans="3:16" ht="15" customHeight="1">
      <c r="C22" s="927"/>
      <c r="D22" s="932"/>
      <c r="E22" s="932"/>
      <c r="F22" s="932"/>
      <c r="G22" s="932"/>
      <c r="H22" s="932"/>
      <c r="I22" s="932"/>
      <c r="J22" s="932"/>
      <c r="K22" s="932"/>
      <c r="L22" s="932"/>
      <c r="M22" s="932"/>
      <c r="N22" s="932"/>
      <c r="O22" s="932"/>
      <c r="P22" s="933"/>
    </row>
    <row r="23" spans="3:16" ht="15" customHeight="1">
      <c r="C23" s="927"/>
      <c r="D23" s="932"/>
      <c r="E23" s="932"/>
      <c r="F23" s="932"/>
      <c r="G23" s="932"/>
      <c r="H23" s="932"/>
      <c r="I23" s="932"/>
      <c r="J23" s="932"/>
      <c r="K23" s="932"/>
      <c r="L23" s="932"/>
      <c r="M23" s="932"/>
      <c r="N23" s="932"/>
      <c r="O23" s="932"/>
      <c r="P23" s="933"/>
    </row>
    <row r="24" spans="3:16" ht="15" customHeight="1">
      <c r="C24" s="934"/>
      <c r="D24" s="935"/>
      <c r="E24" s="935"/>
      <c r="F24" s="935"/>
      <c r="G24" s="935"/>
      <c r="H24" s="935"/>
      <c r="I24" s="935"/>
      <c r="J24" s="935"/>
      <c r="K24" s="935"/>
      <c r="L24" s="935"/>
      <c r="M24" s="935"/>
      <c r="N24" s="935"/>
      <c r="O24" s="935"/>
      <c r="P24" s="936"/>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58">
      <selection activeCell="E66" sqref="E66"/>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293</v>
      </c>
    </row>
    <row r="2" ht="9.75" customHeight="1"/>
    <row r="3" spans="2:11" s="17" customFormat="1" ht="16.5" customHeight="1">
      <c r="B3" s="782" t="s">
        <v>310</v>
      </c>
      <c r="C3" s="782"/>
      <c r="D3" s="782"/>
      <c r="E3" s="782"/>
      <c r="F3" s="782"/>
      <c r="G3" s="782"/>
      <c r="H3" s="782"/>
      <c r="I3" s="782"/>
      <c r="J3" s="782"/>
      <c r="K3" s="782"/>
    </row>
    <row r="4" ht="9.75" customHeight="1">
      <c r="C4" s="13"/>
    </row>
    <row r="5" spans="2:11" s="17" customFormat="1" ht="15.75">
      <c r="B5" s="785" t="s">
        <v>311</v>
      </c>
      <c r="C5" s="785"/>
      <c r="D5" s="785"/>
      <c r="E5" s="785"/>
      <c r="F5" s="785"/>
      <c r="G5" s="785"/>
      <c r="H5" s="785"/>
      <c r="I5" s="785"/>
      <c r="J5" s="785"/>
      <c r="K5" s="785"/>
    </row>
    <row r="6" spans="2:10" ht="7.5" customHeight="1">
      <c r="B6" s="14"/>
      <c r="C6" s="15"/>
      <c r="D6" s="9"/>
      <c r="F6" s="9"/>
      <c r="G6" s="6"/>
      <c r="H6" s="6"/>
      <c r="I6" s="6"/>
      <c r="J6" s="6"/>
    </row>
    <row r="7" spans="2:11" s="10" customFormat="1" ht="40.5" customHeight="1">
      <c r="B7" s="783" t="s">
        <v>591</v>
      </c>
      <c r="C7" s="783"/>
      <c r="D7" s="783"/>
      <c r="E7" s="783"/>
      <c r="F7" s="783"/>
      <c r="G7" s="783"/>
      <c r="H7" s="783"/>
      <c r="I7" s="783"/>
      <c r="J7" s="783"/>
      <c r="K7" s="783"/>
    </row>
    <row r="8" spans="2:11" s="10" customFormat="1" ht="7.5" customHeight="1">
      <c r="B8" s="39"/>
      <c r="C8" s="39"/>
      <c r="D8" s="39"/>
      <c r="E8" s="39"/>
      <c r="F8" s="39"/>
      <c r="G8" s="39"/>
      <c r="H8" s="39"/>
      <c r="I8" s="39"/>
      <c r="J8" s="39"/>
      <c r="K8" s="39"/>
    </row>
    <row r="9" spans="2:11" s="10" customFormat="1" ht="27" customHeight="1">
      <c r="B9" s="783" t="s">
        <v>175</v>
      </c>
      <c r="C9" s="789"/>
      <c r="D9" s="789"/>
      <c r="E9" s="789"/>
      <c r="F9" s="789"/>
      <c r="G9" s="789"/>
      <c r="H9" s="789"/>
      <c r="I9" s="789"/>
      <c r="J9" s="789"/>
      <c r="K9" s="789"/>
    </row>
    <row r="10" spans="2:11" s="10" customFormat="1" ht="4.5" customHeight="1">
      <c r="B10" s="122"/>
      <c r="C10" s="122"/>
      <c r="D10" s="122"/>
      <c r="E10" s="122"/>
      <c r="F10" s="122"/>
      <c r="G10" s="122"/>
      <c r="H10" s="122"/>
      <c r="I10" s="122"/>
      <c r="J10" s="122"/>
      <c r="K10" s="122"/>
    </row>
    <row r="11" spans="2:11" s="2" customFormat="1" ht="26.25" customHeight="1">
      <c r="B11" s="780" t="s">
        <v>645</v>
      </c>
      <c r="C11" s="780"/>
      <c r="D11" s="780"/>
      <c r="E11" s="780"/>
      <c r="F11" s="780"/>
      <c r="G11" s="780"/>
      <c r="H11" s="780"/>
      <c r="I11" s="780"/>
      <c r="J11" s="780"/>
      <c r="K11" s="780"/>
    </row>
    <row r="12" spans="2:11" s="10" customFormat="1" ht="4.5" customHeight="1">
      <c r="B12" s="39"/>
      <c r="C12" s="39"/>
      <c r="D12" s="39"/>
      <c r="E12" s="39"/>
      <c r="F12" s="39"/>
      <c r="G12" s="39"/>
      <c r="H12" s="39"/>
      <c r="I12" s="39"/>
      <c r="J12" s="39"/>
      <c r="K12" s="39"/>
    </row>
    <row r="13" spans="2:11" s="10" customFormat="1" ht="18.75" customHeight="1">
      <c r="B13" s="770" t="s">
        <v>174</v>
      </c>
      <c r="C13" s="770"/>
      <c r="D13" s="770"/>
      <c r="E13" s="770"/>
      <c r="F13" s="770"/>
      <c r="G13" s="770"/>
      <c r="H13" s="770"/>
      <c r="I13" s="770"/>
      <c r="J13" s="770"/>
      <c r="K13" s="770"/>
    </row>
    <row r="14" spans="2:11" s="10" customFormat="1" ht="4.5" customHeight="1">
      <c r="B14" s="39"/>
      <c r="C14" s="39"/>
      <c r="D14" s="39"/>
      <c r="E14" s="39"/>
      <c r="F14" s="39"/>
      <c r="G14" s="39"/>
      <c r="H14" s="39"/>
      <c r="I14" s="39"/>
      <c r="J14" s="39"/>
      <c r="K14" s="39"/>
    </row>
    <row r="15" spans="2:11" s="50" customFormat="1" ht="26.25" customHeight="1">
      <c r="B15" s="788" t="s">
        <v>584</v>
      </c>
      <c r="C15" s="788"/>
      <c r="D15" s="788"/>
      <c r="E15" s="788"/>
      <c r="F15" s="788"/>
      <c r="G15" s="788"/>
      <c r="H15" s="788"/>
      <c r="I15" s="788"/>
      <c r="J15" s="788"/>
      <c r="K15" s="788"/>
    </row>
    <row r="16" spans="2:11" s="10" customFormat="1" ht="4.5" customHeight="1">
      <c r="B16" s="39"/>
      <c r="C16" s="39"/>
      <c r="D16" s="39"/>
      <c r="E16" s="39"/>
      <c r="F16" s="39"/>
      <c r="G16" s="39"/>
      <c r="H16" s="39"/>
      <c r="I16" s="39"/>
      <c r="J16" s="39"/>
      <c r="K16" s="39"/>
    </row>
    <row r="17" spans="2:11" s="10" customFormat="1" ht="29.25" customHeight="1">
      <c r="B17" s="783" t="s">
        <v>42</v>
      </c>
      <c r="C17" s="783"/>
      <c r="D17" s="783"/>
      <c r="E17" s="783"/>
      <c r="F17" s="783"/>
      <c r="G17" s="783"/>
      <c r="H17" s="783"/>
      <c r="I17" s="783"/>
      <c r="J17" s="783"/>
      <c r="K17" s="783"/>
    </row>
    <row r="18" spans="2:11" s="10" customFormat="1" ht="4.5" customHeight="1">
      <c r="B18" s="122"/>
      <c r="C18" s="122"/>
      <c r="D18" s="122"/>
      <c r="E18" s="122"/>
      <c r="F18" s="122"/>
      <c r="G18" s="122"/>
      <c r="H18" s="122"/>
      <c r="I18" s="122"/>
      <c r="J18" s="122"/>
      <c r="K18" s="122"/>
    </row>
    <row r="19" spans="2:11" s="10" customFormat="1" ht="26.25" customHeight="1">
      <c r="B19" s="783" t="s">
        <v>189</v>
      </c>
      <c r="C19" s="783"/>
      <c r="D19" s="783"/>
      <c r="E19" s="783"/>
      <c r="F19" s="783"/>
      <c r="G19" s="783"/>
      <c r="H19" s="783"/>
      <c r="I19" s="783"/>
      <c r="J19" s="783"/>
      <c r="K19" s="783"/>
    </row>
    <row r="20" spans="2:11" s="10" customFormat="1" ht="4.5" customHeight="1">
      <c r="B20" s="115"/>
      <c r="C20" s="115"/>
      <c r="D20" s="115"/>
      <c r="E20" s="115"/>
      <c r="F20" s="115"/>
      <c r="G20" s="115"/>
      <c r="H20" s="115"/>
      <c r="I20" s="115"/>
      <c r="J20" s="115"/>
      <c r="K20" s="115"/>
    </row>
    <row r="21" spans="2:11" s="10" customFormat="1" ht="26.25" customHeight="1">
      <c r="B21" s="783" t="s">
        <v>513</v>
      </c>
      <c r="C21" s="783"/>
      <c r="D21" s="783"/>
      <c r="E21" s="783"/>
      <c r="F21" s="783"/>
      <c r="G21" s="783"/>
      <c r="H21" s="783"/>
      <c r="I21" s="783"/>
      <c r="J21" s="783"/>
      <c r="K21" s="783"/>
    </row>
    <row r="22" spans="2:11" s="10" customFormat="1" ht="26.25" customHeight="1">
      <c r="B22" s="777" t="s">
        <v>74</v>
      </c>
      <c r="C22" s="777"/>
      <c r="D22" s="777"/>
      <c r="E22" s="777"/>
      <c r="F22" s="777"/>
      <c r="G22" s="777"/>
      <c r="H22" s="777"/>
      <c r="I22" s="777"/>
      <c r="J22" s="777"/>
      <c r="K22" s="777"/>
    </row>
    <row r="23" spans="2:11" s="10" customFormat="1" ht="6.75" customHeight="1">
      <c r="B23" s="124"/>
      <c r="C23" s="39"/>
      <c r="D23" s="39"/>
      <c r="E23" s="39"/>
      <c r="F23" s="39"/>
      <c r="G23" s="39"/>
      <c r="H23" s="39"/>
      <c r="I23" s="39"/>
      <c r="J23" s="39"/>
      <c r="K23" s="39"/>
    </row>
    <row r="24" spans="2:11" s="10" customFormat="1" ht="38.25" customHeight="1">
      <c r="B24" s="783" t="s">
        <v>583</v>
      </c>
      <c r="C24" s="783"/>
      <c r="D24" s="783"/>
      <c r="E24" s="787"/>
      <c r="F24" s="787"/>
      <c r="G24" s="787"/>
      <c r="H24" s="787"/>
      <c r="I24" s="787"/>
      <c r="J24" s="787"/>
      <c r="K24" s="787"/>
    </row>
    <row r="25" spans="2:11" s="10" customFormat="1" ht="8.25" customHeight="1">
      <c r="B25" s="783"/>
      <c r="C25" s="784"/>
      <c r="D25" s="784"/>
      <c r="E25" s="784"/>
      <c r="F25" s="784"/>
      <c r="G25" s="784"/>
      <c r="H25" s="784"/>
      <c r="I25" s="784"/>
      <c r="J25" s="784"/>
      <c r="K25" s="784"/>
    </row>
    <row r="26" spans="2:11" ht="0.75" customHeight="1">
      <c r="B26" s="157"/>
      <c r="C26" s="158"/>
      <c r="D26" s="158"/>
      <c r="E26" s="158"/>
      <c r="F26" s="158"/>
      <c r="G26" s="158"/>
      <c r="H26" s="158"/>
      <c r="I26" s="158"/>
      <c r="J26" s="158"/>
      <c r="K26" s="159"/>
    </row>
    <row r="27" spans="2:11" s="17" customFormat="1" ht="15.75">
      <c r="B27" s="785" t="s">
        <v>312</v>
      </c>
      <c r="C27" s="786"/>
      <c r="D27" s="786"/>
      <c r="E27" s="786"/>
      <c r="F27" s="786"/>
      <c r="G27" s="786"/>
      <c r="H27" s="786"/>
      <c r="I27" s="786"/>
      <c r="J27" s="786"/>
      <c r="K27" s="786"/>
    </row>
    <row r="28" spans="2:11" ht="7.5" customHeight="1">
      <c r="B28" s="90"/>
      <c r="C28" s="37"/>
      <c r="D28" s="90"/>
      <c r="E28" s="37"/>
      <c r="F28" s="90"/>
      <c r="G28" s="37"/>
      <c r="H28" s="90"/>
      <c r="I28" s="37"/>
      <c r="J28" s="90"/>
      <c r="K28" s="37"/>
    </row>
    <row r="29" spans="2:11" ht="7.5" customHeight="1">
      <c r="B29" s="779"/>
      <c r="C29" s="779"/>
      <c r="D29" s="779"/>
      <c r="E29" s="779"/>
      <c r="F29" s="779"/>
      <c r="G29" s="779"/>
      <c r="H29" s="779"/>
      <c r="I29" s="779"/>
      <c r="J29" s="779"/>
      <c r="K29" s="779"/>
    </row>
    <row r="30" spans="2:11" s="50" customFormat="1" ht="15.75" customHeight="1">
      <c r="B30" s="126" t="s">
        <v>313</v>
      </c>
      <c r="C30" s="780" t="s">
        <v>179</v>
      </c>
      <c r="D30" s="780"/>
      <c r="E30" s="780"/>
      <c r="F30" s="780"/>
      <c r="G30" s="780"/>
      <c r="H30" s="780"/>
      <c r="I30" s="780"/>
      <c r="J30" s="780"/>
      <c r="K30" s="780"/>
    </row>
    <row r="31" spans="2:11" s="50" customFormat="1" ht="26.25" customHeight="1">
      <c r="B31" s="126" t="s">
        <v>313</v>
      </c>
      <c r="C31" s="778" t="s">
        <v>592</v>
      </c>
      <c r="D31" s="778"/>
      <c r="E31" s="778"/>
      <c r="F31" s="778"/>
      <c r="G31" s="778"/>
      <c r="H31" s="778"/>
      <c r="I31" s="778"/>
      <c r="J31" s="778"/>
      <c r="K31" s="778"/>
    </row>
    <row r="32" spans="2:11" s="40" customFormat="1" ht="51" customHeight="1">
      <c r="B32" s="126" t="s">
        <v>313</v>
      </c>
      <c r="C32" s="778" t="s">
        <v>101</v>
      </c>
      <c r="D32" s="778"/>
      <c r="E32" s="778"/>
      <c r="F32" s="778"/>
      <c r="G32" s="778"/>
      <c r="H32" s="778"/>
      <c r="I32" s="778"/>
      <c r="J32" s="778"/>
      <c r="K32" s="778"/>
    </row>
    <row r="33" spans="2:11" s="50" customFormat="1" ht="26.25" customHeight="1">
      <c r="B33" s="127" t="s">
        <v>313</v>
      </c>
      <c r="C33" s="781" t="s">
        <v>133</v>
      </c>
      <c r="D33" s="781"/>
      <c r="E33" s="781"/>
      <c r="F33" s="781"/>
      <c r="G33" s="781"/>
      <c r="H33" s="781"/>
      <c r="I33" s="781"/>
      <c r="J33" s="781"/>
      <c r="K33" s="781"/>
    </row>
    <row r="34" spans="2:11" s="50" customFormat="1" ht="27.75" customHeight="1">
      <c r="B34" s="127" t="s">
        <v>313</v>
      </c>
      <c r="C34" s="791" t="s">
        <v>180</v>
      </c>
      <c r="D34" s="791"/>
      <c r="E34" s="791"/>
      <c r="F34" s="791"/>
      <c r="G34" s="791"/>
      <c r="H34" s="791"/>
      <c r="I34" s="791"/>
      <c r="J34" s="791"/>
      <c r="K34" s="791"/>
    </row>
    <row r="35" spans="2:11" s="10" customFormat="1" ht="15.75" customHeight="1">
      <c r="B35" s="127" t="s">
        <v>313</v>
      </c>
      <c r="C35" s="770" t="s">
        <v>181</v>
      </c>
      <c r="D35" s="770"/>
      <c r="E35" s="770"/>
      <c r="F35" s="770"/>
      <c r="G35" s="770"/>
      <c r="H35" s="770"/>
      <c r="I35" s="770"/>
      <c r="J35" s="770"/>
      <c r="K35" s="770"/>
    </row>
    <row r="36" spans="2:11" s="50" customFormat="1" ht="15.75" customHeight="1">
      <c r="B36" s="127" t="s">
        <v>313</v>
      </c>
      <c r="C36" s="769" t="s">
        <v>182</v>
      </c>
      <c r="D36" s="769"/>
      <c r="E36" s="769"/>
      <c r="F36" s="769"/>
      <c r="G36" s="769"/>
      <c r="H36" s="769"/>
      <c r="I36" s="769"/>
      <c r="J36" s="769"/>
      <c r="K36" s="769"/>
    </row>
    <row r="37" spans="2:11" s="50" customFormat="1" ht="14.25" customHeight="1">
      <c r="B37" s="127" t="s">
        <v>313</v>
      </c>
      <c r="C37" s="769" t="s">
        <v>36</v>
      </c>
      <c r="D37" s="769"/>
      <c r="E37" s="769"/>
      <c r="F37" s="769"/>
      <c r="G37" s="769"/>
      <c r="H37" s="769"/>
      <c r="I37" s="769"/>
      <c r="J37" s="769"/>
      <c r="K37" s="769"/>
    </row>
    <row r="38" spans="2:11" s="10" customFormat="1" ht="10.5" customHeight="1">
      <c r="B38" s="127"/>
      <c r="C38" s="770"/>
      <c r="D38" s="770"/>
      <c r="E38" s="770"/>
      <c r="F38" s="770"/>
      <c r="G38" s="770"/>
      <c r="H38" s="770"/>
      <c r="I38" s="770"/>
      <c r="J38" s="770"/>
      <c r="K38" s="770"/>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75">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92" t="s">
        <v>596</v>
      </c>
      <c r="D44" s="792"/>
      <c r="E44" s="792"/>
      <c r="F44" s="792"/>
      <c r="G44" s="792"/>
      <c r="H44" s="792"/>
      <c r="I44" s="792"/>
      <c r="J44" s="792"/>
      <c r="K44" s="792"/>
    </row>
    <row r="45" spans="2:11" s="37" customFormat="1" ht="9.75" customHeight="1">
      <c r="B45" s="133"/>
      <c r="C45" s="134"/>
      <c r="D45" s="135"/>
      <c r="E45" s="135"/>
      <c r="F45" s="135"/>
      <c r="G45" s="135"/>
      <c r="H45" s="135"/>
      <c r="I45" s="135"/>
      <c r="J45" s="135"/>
      <c r="K45" s="135"/>
    </row>
    <row r="46" spans="2:11" s="17" customFormat="1" ht="15.75" customHeight="1">
      <c r="B46" s="767" t="s">
        <v>485</v>
      </c>
      <c r="C46" s="768"/>
      <c r="D46" s="768"/>
      <c r="E46" s="768"/>
      <c r="F46" s="768"/>
      <c r="G46" s="768"/>
      <c r="H46" s="768"/>
      <c r="I46" s="768"/>
      <c r="J46" s="768"/>
      <c r="K46" s="768"/>
    </row>
    <row r="47" spans="2:11" ht="7.5" customHeight="1">
      <c r="B47" s="11"/>
      <c r="C47" s="11"/>
      <c r="D47" s="136"/>
      <c r="E47" s="136"/>
      <c r="F47" s="11"/>
      <c r="G47" s="136"/>
      <c r="H47" s="136"/>
      <c r="I47" s="136"/>
      <c r="J47" s="136"/>
      <c r="K47" s="125"/>
    </row>
    <row r="48" spans="2:12" ht="24" customHeight="1">
      <c r="B48" s="774" t="s">
        <v>178</v>
      </c>
      <c r="C48" s="775"/>
      <c r="D48" s="775"/>
      <c r="E48" s="775"/>
      <c r="F48" s="775"/>
      <c r="G48" s="775"/>
      <c r="H48" s="775"/>
      <c r="I48" s="775"/>
      <c r="J48" s="775"/>
      <c r="K48" s="776"/>
      <c r="L48" s="22"/>
    </row>
    <row r="49" spans="2:11" ht="81" customHeight="1">
      <c r="B49" s="771" t="s">
        <v>245</v>
      </c>
      <c r="C49" s="772"/>
      <c r="D49" s="772"/>
      <c r="E49" s="772"/>
      <c r="F49" s="772"/>
      <c r="G49" s="772"/>
      <c r="H49" s="772"/>
      <c r="I49" s="772"/>
      <c r="J49" s="772"/>
      <c r="K49" s="773"/>
    </row>
    <row r="50" spans="2:11" ht="24" customHeight="1">
      <c r="B50" s="774" t="s">
        <v>86</v>
      </c>
      <c r="C50" s="775"/>
      <c r="D50" s="775"/>
      <c r="E50" s="775"/>
      <c r="F50" s="775"/>
      <c r="G50" s="775"/>
      <c r="H50" s="775"/>
      <c r="I50" s="775"/>
      <c r="J50" s="775"/>
      <c r="K50" s="776"/>
    </row>
    <row r="51" spans="2:11" ht="79.5" customHeight="1">
      <c r="B51" s="771" t="s">
        <v>212</v>
      </c>
      <c r="C51" s="772"/>
      <c r="D51" s="772"/>
      <c r="E51" s="772"/>
      <c r="F51" s="772"/>
      <c r="G51" s="772"/>
      <c r="H51" s="772"/>
      <c r="I51" s="772"/>
      <c r="J51" s="772"/>
      <c r="K51" s="773"/>
    </row>
    <row r="52" spans="2:11" ht="24" customHeight="1">
      <c r="B52" s="774" t="s">
        <v>197</v>
      </c>
      <c r="C52" s="775"/>
      <c r="D52" s="775"/>
      <c r="E52" s="775"/>
      <c r="F52" s="775"/>
      <c r="G52" s="775"/>
      <c r="H52" s="775"/>
      <c r="I52" s="775"/>
      <c r="J52" s="775"/>
      <c r="K52" s="776"/>
    </row>
    <row r="53" spans="2:11" ht="52.5" customHeight="1">
      <c r="B53" s="771" t="s">
        <v>103</v>
      </c>
      <c r="C53" s="772"/>
      <c r="D53" s="772"/>
      <c r="E53" s="772"/>
      <c r="F53" s="772"/>
      <c r="G53" s="772"/>
      <c r="H53" s="772"/>
      <c r="I53" s="772"/>
      <c r="J53" s="772"/>
      <c r="K53" s="773"/>
    </row>
    <row r="54" spans="2:11" ht="24" customHeight="1">
      <c r="B54" s="774" t="s">
        <v>123</v>
      </c>
      <c r="C54" s="775"/>
      <c r="D54" s="775"/>
      <c r="E54" s="775"/>
      <c r="F54" s="775"/>
      <c r="G54" s="775"/>
      <c r="H54" s="775"/>
      <c r="I54" s="775"/>
      <c r="J54" s="775"/>
      <c r="K54" s="776"/>
    </row>
    <row r="55" spans="2:11" ht="51.75" customHeight="1">
      <c r="B55" s="771" t="s">
        <v>204</v>
      </c>
      <c r="C55" s="772"/>
      <c r="D55" s="772"/>
      <c r="E55" s="772"/>
      <c r="F55" s="772"/>
      <c r="G55" s="772"/>
      <c r="H55" s="772"/>
      <c r="I55" s="772"/>
      <c r="J55" s="772"/>
      <c r="K55" s="773"/>
    </row>
    <row r="56" spans="2:11" ht="24" customHeight="1">
      <c r="B56" s="774" t="s">
        <v>124</v>
      </c>
      <c r="C56" s="775"/>
      <c r="D56" s="775"/>
      <c r="E56" s="775"/>
      <c r="F56" s="775"/>
      <c r="G56" s="775"/>
      <c r="H56" s="775"/>
      <c r="I56" s="775"/>
      <c r="J56" s="775"/>
      <c r="K56" s="776"/>
    </row>
    <row r="57" spans="2:11" ht="27" customHeight="1">
      <c r="B57" s="771" t="s">
        <v>10</v>
      </c>
      <c r="C57" s="772"/>
      <c r="D57" s="772"/>
      <c r="E57" s="772"/>
      <c r="F57" s="772"/>
      <c r="G57" s="772"/>
      <c r="H57" s="772"/>
      <c r="I57" s="772"/>
      <c r="J57" s="772"/>
      <c r="K57" s="773"/>
    </row>
    <row r="58" spans="2:11" s="17" customFormat="1" ht="24" customHeight="1">
      <c r="B58" s="774" t="s">
        <v>198</v>
      </c>
      <c r="C58" s="775"/>
      <c r="D58" s="775"/>
      <c r="E58" s="775"/>
      <c r="F58" s="775"/>
      <c r="G58" s="775"/>
      <c r="H58" s="775"/>
      <c r="I58" s="775"/>
      <c r="J58" s="775"/>
      <c r="K58" s="776"/>
    </row>
    <row r="59" spans="2:11" ht="52.5" customHeight="1">
      <c r="B59" s="771" t="s">
        <v>104</v>
      </c>
      <c r="C59" s="772"/>
      <c r="D59" s="772"/>
      <c r="E59" s="772"/>
      <c r="F59" s="772"/>
      <c r="G59" s="772"/>
      <c r="H59" s="772"/>
      <c r="I59" s="772"/>
      <c r="J59" s="772"/>
      <c r="K59" s="773"/>
    </row>
    <row r="60" spans="2:11" ht="24" customHeight="1">
      <c r="B60" s="128"/>
      <c r="C60" s="128"/>
      <c r="D60" s="128"/>
      <c r="E60" s="128"/>
      <c r="F60" s="128"/>
      <c r="G60" s="128"/>
      <c r="H60" s="128"/>
      <c r="I60" s="128"/>
      <c r="J60" s="128"/>
      <c r="K60" s="128"/>
    </row>
    <row r="61" spans="2:11" ht="15.75" customHeight="1">
      <c r="B61" s="790" t="s">
        <v>269</v>
      </c>
      <c r="C61" s="790"/>
      <c r="D61" s="790"/>
      <c r="E61" s="790"/>
      <c r="F61" s="790"/>
      <c r="G61" s="790"/>
      <c r="H61" s="790"/>
      <c r="I61" s="790"/>
      <c r="J61" s="790"/>
      <c r="K61" s="790"/>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4.25">
      <c r="B66" s="10"/>
      <c r="C66" s="590" t="s">
        <v>270</v>
      </c>
      <c r="D66" s="594" t="s">
        <v>267</v>
      </c>
      <c r="E66" s="592">
        <v>1000</v>
      </c>
      <c r="F66" s="10"/>
      <c r="G66" s="10"/>
      <c r="H66" s="10"/>
      <c r="I66" s="10"/>
      <c r="J66" s="10"/>
      <c r="K66" s="10"/>
    </row>
    <row r="67" spans="2:11" ht="14.2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9:K9"/>
    <mergeCell ref="B11:K11"/>
    <mergeCell ref="B61:K61"/>
    <mergeCell ref="C34:K34"/>
    <mergeCell ref="B52:K52"/>
    <mergeCell ref="B54:K54"/>
    <mergeCell ref="B51:K51"/>
    <mergeCell ref="C44:K44"/>
    <mergeCell ref="B49:K49"/>
    <mergeCell ref="B19:K19"/>
    <mergeCell ref="B3:K3"/>
    <mergeCell ref="B25:K25"/>
    <mergeCell ref="B17:K17"/>
    <mergeCell ref="B21:K21"/>
    <mergeCell ref="B5:K5"/>
    <mergeCell ref="B27:K27"/>
    <mergeCell ref="B7:K7"/>
    <mergeCell ref="B13:K13"/>
    <mergeCell ref="B24:K24"/>
    <mergeCell ref="B15:K15"/>
    <mergeCell ref="B22:K22"/>
    <mergeCell ref="B56:K56"/>
    <mergeCell ref="C32:K32"/>
    <mergeCell ref="B48:K48"/>
    <mergeCell ref="B29:K29"/>
    <mergeCell ref="C31:K31"/>
    <mergeCell ref="C35:K35"/>
    <mergeCell ref="C37:K37"/>
    <mergeCell ref="C30:K30"/>
    <mergeCell ref="C33:K33"/>
    <mergeCell ref="B46:K46"/>
    <mergeCell ref="C36:K36"/>
    <mergeCell ref="C38:K38"/>
    <mergeCell ref="B59:K59"/>
    <mergeCell ref="B53:K53"/>
    <mergeCell ref="B55:K55"/>
    <mergeCell ref="B58:K58"/>
    <mergeCell ref="B57:K57"/>
    <mergeCell ref="B50:K50"/>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76">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293</v>
      </c>
    </row>
    <row r="2" ht="7.5" customHeight="1"/>
    <row r="3" spans="2:4" ht="18">
      <c r="B3" s="793" t="s">
        <v>305</v>
      </c>
      <c r="C3" s="793"/>
      <c r="D3" s="793"/>
    </row>
    <row r="4" spans="2:4" ht="12.75" customHeight="1">
      <c r="B4" s="97"/>
      <c r="C4" s="137"/>
      <c r="D4" s="138"/>
    </row>
    <row r="5" spans="2:4" ht="15.75">
      <c r="B5" s="794" t="s">
        <v>131</v>
      </c>
      <c r="C5" s="794"/>
      <c r="D5" s="794"/>
    </row>
    <row r="6" spans="2:7" s="11" customFormat="1" ht="40.5" customHeight="1" thickBot="1">
      <c r="B6" s="796" t="s">
        <v>558</v>
      </c>
      <c r="C6" s="797"/>
      <c r="D6" s="797"/>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95" t="s">
        <v>303</v>
      </c>
      <c r="C17" s="795"/>
      <c r="D17" s="795"/>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5.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5.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25.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38.2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1">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8.2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811" t="s">
        <v>194</v>
      </c>
      <c r="E2" s="811"/>
      <c r="F2" s="811"/>
      <c r="G2" s="811"/>
      <c r="H2" s="811"/>
      <c r="I2" s="811"/>
      <c r="J2" s="811"/>
      <c r="K2" s="811"/>
      <c r="L2" s="811"/>
      <c r="M2" s="811"/>
      <c r="N2" s="811"/>
      <c r="O2" s="811"/>
      <c r="P2" s="811"/>
      <c r="Q2" s="811"/>
      <c r="R2" s="811"/>
      <c r="S2" s="811"/>
      <c r="T2" s="811"/>
      <c r="U2" s="811"/>
      <c r="V2" s="811"/>
      <c r="W2" s="811"/>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812" t="s">
        <v>253</v>
      </c>
      <c r="E3" s="812"/>
      <c r="F3" s="812"/>
      <c r="G3" s="812"/>
      <c r="H3" s="812"/>
      <c r="I3" s="812"/>
      <c r="J3" s="812"/>
      <c r="K3" s="812"/>
      <c r="L3" s="812"/>
      <c r="M3" s="812"/>
      <c r="N3" s="812"/>
      <c r="O3" s="812"/>
      <c r="P3" s="812"/>
      <c r="Q3" s="812"/>
      <c r="R3" s="812"/>
      <c r="S3" s="812"/>
      <c r="T3" s="812"/>
      <c r="U3" s="812"/>
      <c r="V3" s="812"/>
      <c r="W3" s="812"/>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813" t="str">
        <f>LEFT('W1'!D10,LEN('W1'!D10)-7)&amp;" (W1,3)"</f>
        <v>Internal flow (W1,3)</v>
      </c>
      <c r="G10" s="814"/>
      <c r="H10" s="83"/>
      <c r="J10" s="83"/>
      <c r="K10" s="83"/>
      <c r="L10" s="83"/>
      <c r="M10" s="83"/>
      <c r="N10" s="83"/>
      <c r="O10" s="83"/>
      <c r="P10" s="83"/>
      <c r="Q10" s="815" t="s">
        <v>75</v>
      </c>
      <c r="R10" s="807" t="s">
        <v>79</v>
      </c>
      <c r="S10" s="808"/>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817" t="str">
        <f>'W1'!D13&amp;" (W1,6)"</f>
        <v>Outflow of surface and groundwaters to neighbouring countries (W1,6)</v>
      </c>
      <c r="J11" s="818"/>
      <c r="K11" s="83"/>
      <c r="L11" s="86"/>
      <c r="M11" s="86"/>
      <c r="N11" s="86"/>
      <c r="O11" s="83"/>
      <c r="P11" s="83"/>
      <c r="Q11" s="816"/>
      <c r="R11" s="809"/>
      <c r="S11" s="810"/>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817" t="str">
        <f>'W1'!D16&amp;" (W1,9)"</f>
        <v>Outflow of surface and groundwaters to the sea (W1,9)</v>
      </c>
      <c r="J13" s="818"/>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819" t="str">
        <f>'W2'!D13</f>
        <v>of which abstracted by:</v>
      </c>
      <c r="E15" s="820"/>
      <c r="F15" s="820"/>
      <c r="G15" s="820"/>
      <c r="H15" s="820"/>
      <c r="I15" s="820"/>
      <c r="J15" s="820"/>
      <c r="K15" s="821"/>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98" t="str">
        <f>LEFT('W2'!D10,LEN('W2'!D10)-7)&amp;" (W2,3)"</f>
        <v>Gross freshwater abstracted (W2,3)</v>
      </c>
      <c r="E19" s="799"/>
      <c r="F19" s="799"/>
      <c r="G19" s="799"/>
      <c r="H19" s="799"/>
      <c r="I19" s="799"/>
      <c r="J19" s="799"/>
      <c r="K19" s="800"/>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798" t="str">
        <f>LEFT('W2'!D12,LEN('W2'!D12)-7)&amp;" (W2,5)"</f>
        <v>Net freshwater abstracted (W2,5)</v>
      </c>
      <c r="K21" s="800"/>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805" t="str">
        <f>LEFT('W2'!D28,LEN('W2'!D28)-17)&amp;" (W2,20)"</f>
        <v>Total freshwater available for use (W2,20)</v>
      </c>
      <c r="P22" s="83"/>
      <c r="Q22" s="805"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822"/>
      <c r="E23" s="822"/>
      <c r="F23" s="83"/>
      <c r="G23" s="798" t="str">
        <f>'W2'!D11&amp;" (W2,4)"</f>
        <v>Water returned without use (W2,4)</v>
      </c>
      <c r="H23" s="800"/>
      <c r="J23" s="798" t="str">
        <f>'W2'!D24&amp;" (W2,16)"</f>
        <v>Desalinated water (W2,16)</v>
      </c>
      <c r="K23" s="800"/>
      <c r="L23" s="83"/>
      <c r="M23" s="38"/>
      <c r="N23" s="83"/>
      <c r="O23" s="806"/>
      <c r="P23" s="83"/>
      <c r="Q23" s="806"/>
      <c r="R23" s="803" t="str">
        <f>'W2'!D31</f>
        <v>of which used by:</v>
      </c>
      <c r="S23" s="804"/>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98" t="str">
        <f>'W2'!D25&amp;" (W2,17)"</f>
        <v>Reused water (W2,17)</v>
      </c>
      <c r="K25" s="800"/>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801"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98" t="str">
        <f>'W2'!D26&amp;" - "&amp;'W2'!D27&amp;" (= W2,18 - W2,19)"</f>
        <v>Imports of water - Exports of water (= W2,18 - W2,19)</v>
      </c>
      <c r="K27" s="800"/>
      <c r="L27" s="83"/>
      <c r="M27" s="83"/>
      <c r="N27" s="83"/>
      <c r="O27" s="38"/>
      <c r="P27" s="802"/>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SheetLayoutView="55" zoomScalePageLayoutView="70" workbookViewId="0" topLeftCell="C1">
      <selection activeCell="D3" sqref="D3"/>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49" customWidth="1"/>
    <col min="54" max="54" width="5.33203125" style="649" customWidth="1"/>
    <col min="55" max="55" width="24.16015625" style="649" customWidth="1"/>
    <col min="56" max="56" width="8" style="649" customWidth="1"/>
    <col min="57" max="57" width="9.33203125" style="649" customWidth="1"/>
    <col min="58" max="58" width="5" style="649" customWidth="1"/>
    <col min="59" max="59" width="5.33203125" style="649" customWidth="1"/>
    <col min="60" max="60" width="5.6601562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242</v>
      </c>
      <c r="C3" s="185" t="s">
        <v>296</v>
      </c>
      <c r="D3" s="512" t="s">
        <v>370</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837"/>
      <c r="BB4" s="652"/>
    </row>
    <row r="5" spans="1:86" s="196" customFormat="1" ht="17.25" customHeight="1">
      <c r="A5" s="192"/>
      <c r="B5" s="163">
        <v>1</v>
      </c>
      <c r="C5" s="848" t="s">
        <v>436</v>
      </c>
      <c r="D5" s="848"/>
      <c r="E5" s="849"/>
      <c r="F5" s="849"/>
      <c r="G5" s="849"/>
      <c r="H5" s="850"/>
      <c r="I5" s="850"/>
      <c r="J5" s="850"/>
      <c r="K5" s="850"/>
      <c r="L5" s="850"/>
      <c r="M5" s="850"/>
      <c r="N5" s="850"/>
      <c r="O5" s="850"/>
      <c r="P5" s="850"/>
      <c r="Q5" s="850"/>
      <c r="R5" s="850"/>
      <c r="S5" s="850"/>
      <c r="T5" s="850"/>
      <c r="U5" s="850"/>
      <c r="V5" s="850"/>
      <c r="W5" s="849"/>
      <c r="X5" s="850"/>
      <c r="Y5" s="849"/>
      <c r="Z5" s="850"/>
      <c r="AA5" s="849"/>
      <c r="AB5" s="850"/>
      <c r="AC5" s="849"/>
      <c r="AD5" s="850"/>
      <c r="AE5" s="849"/>
      <c r="AF5" s="850"/>
      <c r="AG5" s="849"/>
      <c r="AH5" s="850"/>
      <c r="AI5" s="850"/>
      <c r="AJ5" s="850"/>
      <c r="AK5" s="849"/>
      <c r="AL5" s="850"/>
      <c r="AM5" s="849"/>
      <c r="AN5" s="850"/>
      <c r="AO5" s="849"/>
      <c r="AP5" s="849"/>
      <c r="AQ5" s="849"/>
      <c r="AR5" s="849"/>
      <c r="AS5" s="849"/>
      <c r="AT5" s="850"/>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47"/>
      <c r="CD5" s="847"/>
      <c r="CE5" s="847"/>
      <c r="CF5" s="847"/>
      <c r="CG5" s="569"/>
      <c r="CH5" s="569"/>
    </row>
    <row r="6" spans="5:86" ht="15.75" customHeight="1">
      <c r="E6" s="198"/>
      <c r="F6" s="199"/>
      <c r="H6" s="588" t="s">
        <v>490</v>
      </c>
      <c r="Z6" s="203"/>
      <c r="AB6" s="834"/>
      <c r="AC6" s="835"/>
      <c r="AD6" s="835"/>
      <c r="AE6" s="835"/>
      <c r="AF6" s="835"/>
      <c r="AG6" s="835"/>
      <c r="AH6" s="835"/>
      <c r="AI6" s="835"/>
      <c r="AJ6" s="835"/>
      <c r="AK6" s="836"/>
      <c r="AL6" s="836"/>
      <c r="AM6" s="836"/>
      <c r="AN6" s="836"/>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c r="G8" s="523"/>
      <c r="H8" s="513"/>
      <c r="I8" s="523"/>
      <c r="J8" s="513"/>
      <c r="K8" s="523"/>
      <c r="L8" s="513"/>
      <c r="M8" s="523"/>
      <c r="N8" s="513"/>
      <c r="O8" s="523"/>
      <c r="P8" s="513"/>
      <c r="Q8" s="523"/>
      <c r="R8" s="513"/>
      <c r="S8" s="523"/>
      <c r="T8" s="513"/>
      <c r="U8" s="523"/>
      <c r="V8" s="513"/>
      <c r="W8" s="523"/>
      <c r="X8" s="513"/>
      <c r="Y8" s="523"/>
      <c r="Z8" s="513"/>
      <c r="AA8" s="523"/>
      <c r="AB8" s="513"/>
      <c r="AC8" s="523"/>
      <c r="AD8" s="513"/>
      <c r="AE8" s="523"/>
      <c r="AF8" s="513"/>
      <c r="AG8" s="523"/>
      <c r="AH8" s="513"/>
      <c r="AI8" s="523"/>
      <c r="AJ8" s="513"/>
      <c r="AK8" s="523"/>
      <c r="AL8" s="513"/>
      <c r="AM8" s="523"/>
      <c r="AN8" s="513"/>
      <c r="AO8" s="523"/>
      <c r="AP8" s="513"/>
      <c r="AQ8" s="523"/>
      <c r="AR8" s="513"/>
      <c r="AS8" s="523"/>
      <c r="AT8" s="513"/>
      <c r="AU8" s="523"/>
      <c r="AV8" s="513"/>
      <c r="AW8" s="523"/>
      <c r="AX8" s="513"/>
      <c r="AY8" s="523"/>
      <c r="BA8" s="659"/>
      <c r="BB8" s="660">
        <v>1</v>
      </c>
      <c r="BC8" s="661" t="s">
        <v>77</v>
      </c>
      <c r="BD8" s="662" t="s">
        <v>78</v>
      </c>
      <c r="BE8" s="660" t="str">
        <f>IF(OR(ISERR(AVERAGE(H8:AY8)),ISBLANK(F8)),"N/A",IF(OR(F8&lt;AVERAGE(H8:AY8)*0.75,F8&gt;AVERAGE(H8:AY8)*1.25),"&lt;&gt;Average","ok"))</f>
        <v>N/A</v>
      </c>
      <c r="BF8" s="663" t="s">
        <v>82</v>
      </c>
      <c r="BG8" s="660" t="str">
        <f aca="true" t="shared" si="0" ref="BG8:BG16">IF(OR(ISBLANK(H8),ISBLANK(J8)),"N/A",IF(ABS((J8-H8)/H8)&gt;1,"&gt; 100%","ok"))</f>
        <v>N/A</v>
      </c>
      <c r="BH8" s="664" t="str">
        <f>IF(OR(ISBLANK(L8),ISBLANK(J8)),"N/A",IF(ABS((L8-J8)/J8)&gt;1,"&gt; 100%","ok"))</f>
        <v>N/A</v>
      </c>
      <c r="BI8" s="664" t="str">
        <f aca="true" t="shared" si="1" ref="BI8:BI16">IF(OR(ISBLANK(N8),ISBLANK(L8)),"N/A",IF(ABS((N8-L8)/L8)&gt;0.25,"&gt; 25%","ok"))</f>
        <v>N/A</v>
      </c>
      <c r="BJ8" s="664" t="str">
        <f aca="true" t="shared" si="2" ref="BJ8:BJ16">IF(OR(ISBLANK(P8),ISBLANK(N8)),"N/A",IF(ABS((P8-N8)/N8)&gt;0.25,"&gt; 25%","ok"))</f>
        <v>N/A</v>
      </c>
      <c r="BK8" s="664" t="str">
        <f aca="true" t="shared" si="3" ref="BK8:BK16">IF(OR(ISBLANK(R8),ISBLANK(P8)),"N/A",IF(ABS((R8-P8)/P8)&gt;0.25,"&gt; 25%","ok"))</f>
        <v>N/A</v>
      </c>
      <c r="BL8" s="664" t="str">
        <f aca="true" t="shared" si="4" ref="BL8:BL16">IF(OR(ISBLANK(T8),ISBLANK(R8)),"N/A",IF(ABS((T8-R8)/R8)&gt;0.25,"&gt; 25%","ok"))</f>
        <v>N/A</v>
      </c>
      <c r="BM8" s="664" t="str">
        <f aca="true" t="shared" si="5" ref="BM8:BM16">IF(OR(ISBLANK(V8),ISBLANK(T8)),"N/A",IF(ABS((V8-T8)/T8)&gt;0.25,"&gt; 25%","ok"))</f>
        <v>N/A</v>
      </c>
      <c r="BN8" s="664" t="str">
        <f aca="true" t="shared" si="6" ref="BN8:BN16">IF(OR(ISBLANK(X8),ISBLANK(V8)),"N/A",IF(ABS((X8-V8)/V8)&gt;0.25,"&gt; 25%","ok"))</f>
        <v>N/A</v>
      </c>
      <c r="BO8" s="664" t="str">
        <f aca="true" t="shared" si="7" ref="BO8:BO16">IF(OR(ISBLANK(Z8),ISBLANK(X8)),"N/A",IF(ABS((Z8-X8)/X8)&gt;0.25,"&gt; 25%","ok"))</f>
        <v>N/A</v>
      </c>
      <c r="BP8" s="664" t="str">
        <f aca="true" t="shared" si="8" ref="BP8:BP16">IF(OR(ISBLANK(AB8),ISBLANK(Z8)),"N/A",IF(ABS((AB8-Z8)/Z8)&gt;0.25,"&gt; 25%","ok"))</f>
        <v>N/A</v>
      </c>
      <c r="BQ8" s="664" t="str">
        <f aca="true" t="shared" si="9" ref="BQ8:BQ16">IF(OR(ISBLANK(AD8),ISBLANK(AB8)),"N/A",IF(ABS((AD8-AB8)/AB8)&gt;0.25,"&gt; 25%","ok"))</f>
        <v>N/A</v>
      </c>
      <c r="BR8" s="664" t="str">
        <f aca="true" t="shared" si="10" ref="BR8:BR16">IF(OR(ISBLANK(AF8),ISBLANK(AD8)),"N/A",IF(ABS((AF8-AD8)/AD8)&gt;0.25,"&gt; 25%","ok"))</f>
        <v>N/A</v>
      </c>
      <c r="BS8" s="664" t="str">
        <f aca="true" t="shared" si="11" ref="BS8:BS16">IF(OR(ISBLANK(AH8),ISBLANK(AF8)),"N/A",IF(ABS((AH8-AF8)/AF8)&gt;0.25,"&gt; 25%","ok"))</f>
        <v>N/A</v>
      </c>
      <c r="BT8" s="664" t="str">
        <f aca="true" t="shared" si="12" ref="BT8:BT16">IF(OR(ISBLANK(AJ8),ISBLANK(AH8)),"N/A",IF(ABS((AJ8-AH8)/AH8)&gt;0.25,"&gt; 25%","ok"))</f>
        <v>N/A</v>
      </c>
      <c r="BU8" s="664" t="str">
        <f aca="true" t="shared" si="13" ref="BU8:BU16">IF(OR(ISBLANK(AL8),ISBLANK(AJ8)),"N/A",IF(ABS((AL8-AJ8)/AJ8)&gt;0.25,"&gt; 25%","ok"))</f>
        <v>N/A</v>
      </c>
      <c r="BV8" s="664" t="str">
        <f aca="true" t="shared" si="14" ref="BV8:BV16">IF(OR(ISBLANK(AN8),ISBLANK(AL8)),"N/A",IF(ABS((AN8-AL8)/AL8)&gt;0.25,"&gt; 25%","ok"))</f>
        <v>N/A</v>
      </c>
      <c r="BW8" s="664" t="str">
        <f aca="true" t="shared" si="15" ref="BW8:BW16">IF(OR(ISBLANK(AP8),ISBLANK(AN8)),"N/A",IF(ABS((AP8-AN8)/AN8)&gt;0.25,"&gt; 25%","ok"))</f>
        <v>N/A</v>
      </c>
      <c r="BX8" s="664" t="str">
        <f aca="true" t="shared" si="16" ref="BX8:BX16">IF(OR(ISBLANK(AR8),ISBLANK(AP8)),"N/A",IF(ABS((AR8-AP8)/AP8)&gt;0.25,"&gt; 25%","ok"))</f>
        <v>N/A</v>
      </c>
      <c r="BY8" s="664" t="str">
        <f>IF(OR(ISBLANK(AT8),ISBLANK(AR8)),"N/A",IF(ABS((AT8-AR8)/AR8)&gt;0.25,"&gt; 25%","ok"))</f>
        <v>N/A</v>
      </c>
      <c r="BZ8" s="664" t="str">
        <f aca="true" t="shared" si="17" ref="BZ8:BZ16">IF(OR(ISBLANK(AV8),ISBLANK(AT8)),"N/A",IF(ABS((AV8-AT8)/AT8)&gt;0.25,"&gt; 25%","ok"))</f>
        <v>N/A</v>
      </c>
      <c r="CA8" s="664" t="str">
        <f aca="true" t="shared" si="18" ref="CA8:CA16">IF(OR(ISBLANK(AX8),ISBLANK(AV8)),"N/A",IF(ABS((AX8-AV8)/AV8)&gt;0.25,"&gt; 25%","ok"))</f>
        <v>N/A</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N/A</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c r="AG11" s="524"/>
      <c r="AH11" s="538"/>
      <c r="AI11" s="524"/>
      <c r="AJ11" s="538"/>
      <c r="AK11" s="524"/>
      <c r="AL11" s="538"/>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N/A</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str">
        <f t="shared" si="11"/>
        <v>N/A</v>
      </c>
      <c r="BT11" s="664" t="str">
        <f t="shared" si="12"/>
        <v>N/A</v>
      </c>
      <c r="BU11" s="664" t="str">
        <f t="shared" si="13"/>
        <v>N/A</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N/A</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c r="AE14" s="529"/>
      <c r="AF14" s="540"/>
      <c r="AG14" s="529"/>
      <c r="AH14" s="540"/>
      <c r="AI14" s="529"/>
      <c r="AJ14" s="540"/>
      <c r="AK14" s="529"/>
      <c r="AL14" s="540"/>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42" t="s">
        <v>258</v>
      </c>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842"/>
      <c r="AQ20" s="842"/>
      <c r="AR20" s="842"/>
      <c r="AS20" s="842"/>
      <c r="AT20" s="842"/>
      <c r="AU20" s="842"/>
      <c r="AV20" s="842"/>
      <c r="AW20" s="842"/>
      <c r="AX20" s="842"/>
      <c r="AY20" s="842"/>
      <c r="AZ20" s="842"/>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42" t="s">
        <v>241</v>
      </c>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842"/>
      <c r="AM21" s="842"/>
      <c r="AN21" s="842"/>
      <c r="AO21" s="842"/>
      <c r="AP21" s="842"/>
      <c r="AQ21" s="842"/>
      <c r="AR21" s="842"/>
      <c r="AS21" s="842"/>
      <c r="AT21" s="842"/>
      <c r="AU21" s="842"/>
      <c r="AV21" s="842"/>
      <c r="AW21" s="842"/>
      <c r="AX21" s="842"/>
      <c r="AY21" s="842"/>
      <c r="AZ21" s="842"/>
      <c r="BB21" s="660">
        <v>3</v>
      </c>
      <c r="BC21" s="666" t="s">
        <v>19</v>
      </c>
      <c r="BD21" s="665" t="s">
        <v>298</v>
      </c>
      <c r="BE21" s="665">
        <f>F10</f>
        <v>0</v>
      </c>
      <c r="BF21" s="665">
        <f>H10</f>
        <v>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38" t="s">
        <v>143</v>
      </c>
      <c r="E22" s="838"/>
      <c r="F22" s="838"/>
      <c r="G22" s="838"/>
      <c r="H22" s="838"/>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38"/>
      <c r="AM22" s="838"/>
      <c r="AN22" s="838"/>
      <c r="AO22" s="838"/>
      <c r="AP22" s="838"/>
      <c r="AQ22" s="838"/>
      <c r="AR22" s="838"/>
      <c r="AS22" s="838"/>
      <c r="AT22" s="838"/>
      <c r="AU22" s="838"/>
      <c r="AV22" s="838"/>
      <c r="AW22" s="838"/>
      <c r="AX22" s="838"/>
      <c r="AY22" s="838"/>
      <c r="AZ22" s="838"/>
      <c r="BB22" s="680">
        <v>10</v>
      </c>
      <c r="BC22" s="681" t="s">
        <v>37</v>
      </c>
      <c r="BD22" s="665" t="s">
        <v>298</v>
      </c>
      <c r="BE22" s="665">
        <f>(F8-F9)</f>
        <v>0</v>
      </c>
      <c r="BF22" s="665">
        <f>(H8-H9)</f>
        <v>0</v>
      </c>
      <c r="BG22" s="665">
        <f>(J8-J9)</f>
        <v>0</v>
      </c>
      <c r="BH22" s="665">
        <f>(L8-L9)</f>
        <v>0</v>
      </c>
      <c r="BI22" s="665">
        <f>(N8-N9)</f>
        <v>0</v>
      </c>
      <c r="BJ22" s="665">
        <f>(P8-P9)</f>
        <v>0</v>
      </c>
      <c r="BK22" s="665">
        <f>(R8-R9)</f>
        <v>0</v>
      </c>
      <c r="BL22" s="665">
        <f>(T8-T9)</f>
        <v>0</v>
      </c>
      <c r="BM22" s="665">
        <f>(V8-V9)</f>
        <v>0</v>
      </c>
      <c r="BN22" s="665">
        <f>(X8-X9)</f>
        <v>0</v>
      </c>
      <c r="BO22" s="665">
        <f>(Z8-Z9)</f>
        <v>0</v>
      </c>
      <c r="BP22" s="665">
        <f>(AB8-AB9)</f>
        <v>0</v>
      </c>
      <c r="BQ22" s="665">
        <f>(AD8-AD9)</f>
        <v>0</v>
      </c>
      <c r="BR22" s="665">
        <f>(AF8-AF9)</f>
        <v>0</v>
      </c>
      <c r="BS22" s="665">
        <f>(AH8-AH9)</f>
        <v>0</v>
      </c>
      <c r="BT22" s="665">
        <f>(AJ8-AJ9)</f>
        <v>0</v>
      </c>
      <c r="BU22" s="665">
        <f>(AL8-AL9)</f>
        <v>0</v>
      </c>
      <c r="BV22" s="665">
        <f>(AN8-AN9)</f>
        <v>0</v>
      </c>
      <c r="BW22" s="665">
        <f>(AP8-AP9)</f>
        <v>0</v>
      </c>
      <c r="BX22" s="665">
        <f>(AR8-AR9)</f>
        <v>0</v>
      </c>
      <c r="BY22" s="665">
        <f>(AT8-AT9)</f>
        <v>0</v>
      </c>
      <c r="BZ22" s="665">
        <f>(AV8-AV9)</f>
        <v>0</v>
      </c>
      <c r="CA22" s="665">
        <f>(AX8-AX9)</f>
        <v>0</v>
      </c>
      <c r="CB22" s="489"/>
      <c r="CC22" s="644">
        <v>204</v>
      </c>
      <c r="CD22" s="644" t="s">
        <v>337</v>
      </c>
      <c r="CE22" s="645">
        <v>119235.64</v>
      </c>
      <c r="CF22" s="646">
        <v>10300</v>
      </c>
      <c r="CG22" s="646">
        <v>0</v>
      </c>
      <c r="CH22" s="646">
        <v>26390</v>
      </c>
    </row>
    <row r="23" spans="1:86" ht="15.75" customHeight="1">
      <c r="A23" s="247"/>
      <c r="B23" s="247"/>
      <c r="C23" s="245" t="s">
        <v>142</v>
      </c>
      <c r="D23" s="842" t="s">
        <v>110</v>
      </c>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842"/>
      <c r="AN23" s="842"/>
      <c r="AO23" s="842"/>
      <c r="AP23" s="842"/>
      <c r="AQ23" s="842"/>
      <c r="AR23" s="842"/>
      <c r="AS23" s="842"/>
      <c r="AT23" s="842"/>
      <c r="AU23" s="842"/>
      <c r="AV23" s="842"/>
      <c r="AW23" s="842"/>
      <c r="AX23" s="842"/>
      <c r="AY23" s="842"/>
      <c r="AZ23" s="842"/>
      <c r="BA23" s="682"/>
      <c r="BB23" s="683" t="s">
        <v>176</v>
      </c>
      <c r="BC23" s="681" t="s">
        <v>217</v>
      </c>
      <c r="BD23" s="665"/>
      <c r="BE23" s="665" t="str">
        <f>IF(OR(ISBLANK(F8),ISBLANK(F9),ISBLANK(F10)),"N/A",IF((BE21=BE22),"ok","&lt;&gt;"))</f>
        <v>N/A</v>
      </c>
      <c r="BF23" s="665" t="str">
        <f>IF(OR(ISBLANK(H8),ISBLANK(H9),ISBLANK(H10)),"N/A",IF((BF21=BF22),"ok","&lt;&gt;"))</f>
        <v>N/A</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c r="BB24" s="660">
        <v>5</v>
      </c>
      <c r="BC24" s="670" t="s">
        <v>18</v>
      </c>
      <c r="BD24" s="665" t="s">
        <v>298</v>
      </c>
      <c r="BE24" s="665">
        <f>F12</f>
        <v>0</v>
      </c>
      <c r="BF24" s="665">
        <f>H12</f>
        <v>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0</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0</v>
      </c>
      <c r="BF25" s="665">
        <f>H10+H11</f>
        <v>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0</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23" t="str">
        <f>D8&amp;" (W1, 1)"</f>
        <v>Precipitation                               (W1, 1)</v>
      </c>
      <c r="G26" s="824"/>
      <c r="H26" s="824"/>
      <c r="I26" s="825"/>
      <c r="J26" s="255"/>
      <c r="K26" s="255"/>
      <c r="L26" s="255"/>
      <c r="M26" s="823" t="str">
        <f>D9&amp;"(W1, 2)"</f>
        <v>Actual evapotranspiration(W1, 2)</v>
      </c>
      <c r="N26" s="826"/>
      <c r="O26" s="826"/>
      <c r="P26" s="826"/>
      <c r="Q26" s="827"/>
      <c r="R26" s="253"/>
      <c r="S26" s="255"/>
      <c r="T26" s="255"/>
      <c r="U26" s="255"/>
      <c r="V26" s="255"/>
      <c r="W26" s="255"/>
      <c r="X26" s="255"/>
      <c r="Y26" s="255"/>
      <c r="Z26" s="255"/>
      <c r="AA26" s="254"/>
      <c r="AB26" s="843"/>
      <c r="AC26" s="843"/>
      <c r="AD26" s="843"/>
      <c r="AE26" s="843"/>
      <c r="AF26" s="256"/>
      <c r="AG26" s="256"/>
      <c r="AH26" s="256"/>
      <c r="AI26" s="256"/>
      <c r="AJ26" s="843"/>
      <c r="AK26" s="844"/>
      <c r="AL26" s="844"/>
      <c r="AM26" s="844"/>
      <c r="AN26" s="844"/>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N/A</v>
      </c>
      <c r="BF26" s="665" t="str">
        <f>IF(OR(ISBLANK(H10),ISBLANK(H11)),"N/A",IF((BF24=BF25),"ok","&lt;&gt;"))</f>
        <v>N/A</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0</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23" t="str">
        <f>LEFT(D10,LEN(D10)-7)&amp;" (W1, 3)"</f>
        <v>Internal flow (W1, 3)</v>
      </c>
      <c r="I28" s="828"/>
      <c r="J28" s="828"/>
      <c r="K28" s="828"/>
      <c r="L28" s="828"/>
      <c r="M28" s="828"/>
      <c r="N28" s="828"/>
      <c r="O28" s="829"/>
      <c r="P28" s="254"/>
      <c r="Q28" s="254"/>
      <c r="R28" s="254"/>
      <c r="S28" s="254"/>
      <c r="T28" s="254"/>
      <c r="U28" s="254"/>
      <c r="V28" s="254"/>
      <c r="W28" s="254"/>
      <c r="X28" s="254"/>
      <c r="Y28" s="254"/>
      <c r="Z28" s="254"/>
      <c r="AA28" s="254"/>
      <c r="AB28" s="253"/>
      <c r="AC28" s="256"/>
      <c r="AD28" s="843"/>
      <c r="AE28" s="845"/>
      <c r="AF28" s="845"/>
      <c r="AG28" s="845"/>
      <c r="AH28" s="845"/>
      <c r="AI28" s="845"/>
      <c r="AJ28" s="845"/>
      <c r="AK28" s="845"/>
      <c r="AL28" s="845"/>
      <c r="AM28" s="256"/>
      <c r="AN28" s="256"/>
      <c r="AO28" s="256"/>
      <c r="AP28" s="256"/>
      <c r="AQ28" s="256"/>
      <c r="AR28" s="256"/>
      <c r="AS28" s="256"/>
      <c r="AT28" s="189"/>
      <c r="AU28" s="191"/>
      <c r="AV28" s="191"/>
      <c r="AW28" s="191"/>
      <c r="AX28" s="189"/>
      <c r="AY28" s="191"/>
      <c r="AZ28" s="252"/>
      <c r="BB28" s="680">
        <v>12</v>
      </c>
      <c r="BC28" s="681" t="s">
        <v>51</v>
      </c>
      <c r="BD28" s="665" t="s">
        <v>298</v>
      </c>
      <c r="BE28" s="665">
        <f>VLOOKUP(B3,CC7:CH183,3,FALSE)</f>
        <v>47355.840000000004</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23" t="str">
        <f>D13&amp;" (W1, 6)"</f>
        <v>Outflow of surface and groundwaters to neighbouring countries (W1, 6)</v>
      </c>
      <c r="W29" s="824"/>
      <c r="X29" s="824"/>
      <c r="Y29" s="824"/>
      <c r="Z29" s="824"/>
      <c r="AA29" s="825"/>
      <c r="AB29" s="256"/>
      <c r="AC29" s="256"/>
      <c r="AD29" s="256"/>
      <c r="AE29" s="256"/>
      <c r="AF29" s="256"/>
      <c r="AG29" s="256"/>
      <c r="AH29" s="256"/>
      <c r="AI29" s="256"/>
      <c r="AJ29" s="256"/>
      <c r="AK29" s="256"/>
      <c r="AL29" s="256"/>
      <c r="AM29" s="256"/>
      <c r="AN29" s="256"/>
      <c r="AO29" s="256"/>
      <c r="AP29" s="256"/>
      <c r="AQ29" s="256"/>
      <c r="AR29" s="256"/>
      <c r="AS29" s="256"/>
      <c r="AT29" s="843"/>
      <c r="AU29" s="843"/>
      <c r="AV29" s="843"/>
      <c r="AW29" s="843"/>
      <c r="AX29" s="843"/>
      <c r="AY29" s="843"/>
      <c r="AZ29" s="252"/>
      <c r="BB29" s="683" t="s">
        <v>176</v>
      </c>
      <c r="BC29" s="685" t="s">
        <v>219</v>
      </c>
      <c r="BD29" s="665" t="s">
        <v>298</v>
      </c>
      <c r="BE29" s="665">
        <f>ABS(BE27-BE28)</f>
        <v>47355.840000000004</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23" t="str">
        <f>D11&amp;" (W1, 4)"</f>
        <v>Inflow of surface and groundwaters from neighbouring countries (W1, 4)</v>
      </c>
      <c r="G30" s="830"/>
      <c r="H30" s="830"/>
      <c r="I30" s="831"/>
      <c r="J30" s="255"/>
      <c r="K30" s="255"/>
      <c r="L30" s="255"/>
      <c r="M30" s="823" t="str">
        <f>LEFT(D12,LEN(D12)-7)&amp;" (W1, 5)"</f>
        <v>Renewable freshwater resources (W1, 5)</v>
      </c>
      <c r="N30" s="832"/>
      <c r="O30" s="832"/>
      <c r="P30" s="833"/>
      <c r="Q30" s="255"/>
      <c r="R30" s="255"/>
      <c r="S30" s="255"/>
      <c r="T30" s="255"/>
      <c r="U30" s="255"/>
      <c r="V30" s="255"/>
      <c r="W30" s="255"/>
      <c r="X30" s="255"/>
      <c r="Y30" s="255"/>
      <c r="Z30" s="255"/>
      <c r="AA30" s="255"/>
      <c r="AB30" s="843"/>
      <c r="AC30" s="846"/>
      <c r="AD30" s="846"/>
      <c r="AE30" s="846"/>
      <c r="AF30" s="256"/>
      <c r="AG30" s="256"/>
      <c r="AH30" s="256"/>
      <c r="AI30" s="256"/>
      <c r="AJ30" s="256"/>
      <c r="AK30" s="843"/>
      <c r="AL30" s="858"/>
      <c r="AM30" s="858"/>
      <c r="AN30" s="858"/>
      <c r="AO30" s="256"/>
      <c r="AP30" s="256"/>
      <c r="AQ30" s="256"/>
      <c r="AR30" s="256"/>
      <c r="AS30" s="256"/>
      <c r="AT30" s="253"/>
      <c r="AU30" s="253"/>
      <c r="AV30" s="253"/>
      <c r="AW30" s="253"/>
      <c r="AX30" s="253"/>
      <c r="AY30" s="253"/>
      <c r="AZ30" s="256"/>
      <c r="BB30" s="665">
        <v>3</v>
      </c>
      <c r="BC30" s="666" t="s">
        <v>19</v>
      </c>
      <c r="BD30" s="665" t="s">
        <v>298</v>
      </c>
      <c r="BE30" s="665">
        <f>F10</f>
        <v>0</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23" t="str">
        <f>D16&amp;" (W1, 9)"</f>
        <v>Outflow of surface and groundwaters to the sea (W1, 9)</v>
      </c>
      <c r="W31" s="824"/>
      <c r="X31" s="824"/>
      <c r="Y31" s="824"/>
      <c r="Z31" s="824"/>
      <c r="AA31" s="825"/>
      <c r="AB31" s="843"/>
      <c r="AC31" s="846"/>
      <c r="AD31" s="846"/>
      <c r="AE31" s="846"/>
      <c r="AF31" s="553"/>
      <c r="AG31" s="257"/>
      <c r="AH31" s="253"/>
      <c r="AI31" s="253"/>
      <c r="AJ31" s="253"/>
      <c r="AK31" s="843"/>
      <c r="AL31" s="858"/>
      <c r="AM31" s="858"/>
      <c r="AN31" s="858"/>
      <c r="AO31" s="555"/>
      <c r="AP31" s="555"/>
      <c r="AQ31" s="190"/>
      <c r="AR31" s="190"/>
      <c r="AS31" s="190"/>
      <c r="AT31" s="843"/>
      <c r="AU31" s="843"/>
      <c r="AV31" s="843"/>
      <c r="AW31" s="843"/>
      <c r="AX31" s="843"/>
      <c r="AY31" s="843"/>
      <c r="AZ31" s="260"/>
      <c r="BA31" s="649"/>
      <c r="BB31" s="686">
        <v>13</v>
      </c>
      <c r="BC31" s="681" t="s">
        <v>52</v>
      </c>
      <c r="BD31" s="665" t="s">
        <v>298</v>
      </c>
      <c r="BE31" s="665">
        <f>VLOOKUP(B3,CC7:CH183,4,FALSE)</f>
        <v>28550</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f>ABS(BE30-BE31)</f>
        <v>28550</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22.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0</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f>VLOOKUP(B3,CC7:CH183,5,FALSE)</f>
        <v>0</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54" t="s">
        <v>295</v>
      </c>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5"/>
      <c r="AY35" s="855"/>
      <c r="AZ35" s="856"/>
      <c r="BB35" s="683" t="s">
        <v>176</v>
      </c>
      <c r="BC35" s="681" t="s">
        <v>221</v>
      </c>
      <c r="BD35" s="665" t="s">
        <v>298</v>
      </c>
      <c r="BE35" s="665">
        <f>ABS(BE33-BE34)</f>
        <v>0</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3:86" ht="18" customHeight="1">
      <c r="C36" s="484"/>
      <c r="D36" s="839"/>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c r="AR36" s="840"/>
      <c r="AS36" s="840"/>
      <c r="AT36" s="840"/>
      <c r="AU36" s="840"/>
      <c r="AV36" s="840"/>
      <c r="AW36" s="840"/>
      <c r="AX36" s="840"/>
      <c r="AY36" s="840"/>
      <c r="AZ36" s="841"/>
      <c r="BB36" s="660">
        <v>5</v>
      </c>
      <c r="BC36" s="670" t="s">
        <v>18</v>
      </c>
      <c r="BD36" s="665" t="s">
        <v>298</v>
      </c>
      <c r="BE36" s="665">
        <f>F12</f>
        <v>0</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3:86" ht="18" customHeight="1">
      <c r="C37" s="484"/>
      <c r="D37" s="851"/>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c r="AT37" s="852"/>
      <c r="AU37" s="852"/>
      <c r="AV37" s="852"/>
      <c r="AW37" s="852"/>
      <c r="AX37" s="852"/>
      <c r="AY37" s="852"/>
      <c r="AZ37" s="853"/>
      <c r="BB37" s="680">
        <v>15</v>
      </c>
      <c r="BC37" s="681" t="s">
        <v>53</v>
      </c>
      <c r="BD37" s="665" t="s">
        <v>298</v>
      </c>
      <c r="BE37" s="665">
        <f>VLOOKUP(B3,CC7:CH183,6,FALSE)</f>
        <v>28550</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3:86" ht="18" customHeight="1">
      <c r="C38" s="484"/>
      <c r="D38" s="851"/>
      <c r="E38" s="852"/>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852"/>
      <c r="AO38" s="852"/>
      <c r="AP38" s="852"/>
      <c r="AQ38" s="852"/>
      <c r="AR38" s="852"/>
      <c r="AS38" s="852"/>
      <c r="AT38" s="852"/>
      <c r="AU38" s="852"/>
      <c r="AV38" s="852"/>
      <c r="AW38" s="852"/>
      <c r="AX38" s="852"/>
      <c r="AY38" s="852"/>
      <c r="AZ38" s="853"/>
      <c r="BB38" s="687" t="s">
        <v>176</v>
      </c>
      <c r="BC38" s="688" t="s">
        <v>222</v>
      </c>
      <c r="BD38" s="676" t="s">
        <v>298</v>
      </c>
      <c r="BE38" s="676">
        <f>ABS(BE36-BE37)</f>
        <v>28550</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51"/>
      <c r="E39" s="852"/>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852"/>
      <c r="AL39" s="852"/>
      <c r="AM39" s="852"/>
      <c r="AN39" s="852"/>
      <c r="AO39" s="852"/>
      <c r="AP39" s="852"/>
      <c r="AQ39" s="852"/>
      <c r="AR39" s="852"/>
      <c r="AS39" s="852"/>
      <c r="AT39" s="852"/>
      <c r="AU39" s="852"/>
      <c r="AV39" s="852"/>
      <c r="AW39" s="852"/>
      <c r="AX39" s="852"/>
      <c r="AY39" s="852"/>
      <c r="AZ39" s="853"/>
      <c r="BB39" s="689" t="s">
        <v>55</v>
      </c>
      <c r="BC39" s="690" t="s">
        <v>56</v>
      </c>
      <c r="CB39" s="489"/>
      <c r="CC39" s="644">
        <v>344</v>
      </c>
      <c r="CD39" s="644" t="s">
        <v>352</v>
      </c>
      <c r="CE39" s="645">
        <v>0</v>
      </c>
      <c r="CF39" s="646">
        <v>0</v>
      </c>
      <c r="CG39" s="646">
        <v>0</v>
      </c>
      <c r="CH39" s="646">
        <v>0</v>
      </c>
    </row>
    <row r="40" spans="3:86" ht="18" customHeight="1">
      <c r="C40" s="484"/>
      <c r="D40" s="851"/>
      <c r="E40" s="852"/>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c r="AJ40" s="852"/>
      <c r="AK40" s="852"/>
      <c r="AL40" s="852"/>
      <c r="AM40" s="852"/>
      <c r="AN40" s="852"/>
      <c r="AO40" s="852"/>
      <c r="AP40" s="852"/>
      <c r="AQ40" s="852"/>
      <c r="AR40" s="852"/>
      <c r="AS40" s="852"/>
      <c r="AT40" s="852"/>
      <c r="AU40" s="852"/>
      <c r="AV40" s="852"/>
      <c r="AW40" s="852"/>
      <c r="AX40" s="852"/>
      <c r="AY40" s="852"/>
      <c r="AZ40" s="853"/>
      <c r="BB40" s="689" t="s">
        <v>57</v>
      </c>
      <c r="BC40" s="690" t="s">
        <v>58</v>
      </c>
      <c r="CC40" s="644">
        <v>446</v>
      </c>
      <c r="CD40" s="644" t="s">
        <v>353</v>
      </c>
      <c r="CE40" s="645">
        <v>0</v>
      </c>
      <c r="CF40" s="646">
        <v>0</v>
      </c>
      <c r="CG40" s="646">
        <v>0</v>
      </c>
      <c r="CH40" s="646">
        <v>0</v>
      </c>
    </row>
    <row r="41" spans="3:86" ht="18" customHeight="1">
      <c r="C41" s="484"/>
      <c r="D41" s="851"/>
      <c r="E41" s="852"/>
      <c r="F41" s="852"/>
      <c r="G41" s="852"/>
      <c r="H41" s="852"/>
      <c r="I41" s="852"/>
      <c r="J41" s="852"/>
      <c r="K41" s="852"/>
      <c r="L41" s="852"/>
      <c r="M41" s="852"/>
      <c r="N41" s="852"/>
      <c r="O41" s="852"/>
      <c r="P41" s="852"/>
      <c r="Q41" s="852"/>
      <c r="R41" s="852"/>
      <c r="S41" s="852"/>
      <c r="T41" s="852"/>
      <c r="U41" s="852"/>
      <c r="V41" s="852"/>
      <c r="W41" s="852"/>
      <c r="X41" s="852"/>
      <c r="Y41" s="852"/>
      <c r="Z41" s="852"/>
      <c r="AA41" s="852"/>
      <c r="AB41" s="852"/>
      <c r="AC41" s="852"/>
      <c r="AD41" s="852"/>
      <c r="AE41" s="852"/>
      <c r="AF41" s="852"/>
      <c r="AG41" s="852"/>
      <c r="AH41" s="852"/>
      <c r="AI41" s="852"/>
      <c r="AJ41" s="852"/>
      <c r="AK41" s="852"/>
      <c r="AL41" s="852"/>
      <c r="AM41" s="852"/>
      <c r="AN41" s="852"/>
      <c r="AO41" s="852"/>
      <c r="AP41" s="852"/>
      <c r="AQ41" s="852"/>
      <c r="AR41" s="852"/>
      <c r="AS41" s="852"/>
      <c r="AT41" s="852"/>
      <c r="AU41" s="852"/>
      <c r="AV41" s="852"/>
      <c r="AW41" s="852"/>
      <c r="AX41" s="852"/>
      <c r="AY41" s="852"/>
      <c r="AZ41" s="853"/>
      <c r="BB41" s="691" t="s">
        <v>60</v>
      </c>
      <c r="BC41" s="690" t="s">
        <v>62</v>
      </c>
      <c r="BD41" s="692"/>
      <c r="CC41" s="644">
        <v>170</v>
      </c>
      <c r="CD41" s="644" t="s">
        <v>354</v>
      </c>
      <c r="CE41" s="645">
        <v>3699270</v>
      </c>
      <c r="CF41" s="646">
        <v>2145000</v>
      </c>
      <c r="CG41" s="646">
        <v>215000</v>
      </c>
      <c r="CH41" s="646">
        <v>2360000</v>
      </c>
    </row>
    <row r="42" spans="3:86" ht="18" customHeight="1">
      <c r="C42" s="484"/>
      <c r="D42" s="851"/>
      <c r="E42" s="852"/>
      <c r="F42" s="852"/>
      <c r="G42" s="852"/>
      <c r="H42" s="852"/>
      <c r="I42" s="852"/>
      <c r="J42" s="852"/>
      <c r="K42" s="852"/>
      <c r="L42" s="852"/>
      <c r="M42" s="852"/>
      <c r="N42" s="852"/>
      <c r="O42" s="852"/>
      <c r="P42" s="852"/>
      <c r="Q42" s="852"/>
      <c r="R42" s="852"/>
      <c r="S42" s="852"/>
      <c r="T42" s="852"/>
      <c r="U42" s="852"/>
      <c r="V42" s="852"/>
      <c r="W42" s="852"/>
      <c r="X42" s="852"/>
      <c r="Y42" s="852"/>
      <c r="Z42" s="852"/>
      <c r="AA42" s="852"/>
      <c r="AB42" s="852"/>
      <c r="AC42" s="852"/>
      <c r="AD42" s="852"/>
      <c r="AE42" s="852"/>
      <c r="AF42" s="852"/>
      <c r="AG42" s="852"/>
      <c r="AH42" s="852"/>
      <c r="AI42" s="852"/>
      <c r="AJ42" s="852"/>
      <c r="AK42" s="852"/>
      <c r="AL42" s="852"/>
      <c r="AM42" s="852"/>
      <c r="AN42" s="852"/>
      <c r="AO42" s="852"/>
      <c r="AP42" s="852"/>
      <c r="AQ42" s="852"/>
      <c r="AR42" s="852"/>
      <c r="AS42" s="852"/>
      <c r="AT42" s="852"/>
      <c r="AU42" s="852"/>
      <c r="AV42" s="852"/>
      <c r="AW42" s="852"/>
      <c r="AX42" s="852"/>
      <c r="AY42" s="852"/>
      <c r="AZ42" s="853"/>
      <c r="BB42" s="691" t="s">
        <v>59</v>
      </c>
      <c r="BC42" s="690" t="s">
        <v>12</v>
      </c>
      <c r="BD42" s="692"/>
      <c r="CC42" s="644">
        <v>174</v>
      </c>
      <c r="CD42" s="644" t="s">
        <v>355</v>
      </c>
      <c r="CE42" s="645">
        <v>1674.9</v>
      </c>
      <c r="CF42" s="646">
        <v>1200</v>
      </c>
      <c r="CG42" s="646">
        <v>0</v>
      </c>
      <c r="CH42" s="646">
        <v>1200</v>
      </c>
    </row>
    <row r="43" spans="3:86" ht="18" customHeight="1">
      <c r="C43" s="484"/>
      <c r="D43" s="851"/>
      <c r="E43" s="852"/>
      <c r="F43" s="852"/>
      <c r="G43" s="852"/>
      <c r="H43" s="852"/>
      <c r="I43" s="852"/>
      <c r="J43" s="852"/>
      <c r="K43" s="852"/>
      <c r="L43" s="852"/>
      <c r="M43" s="852"/>
      <c r="N43" s="852"/>
      <c r="O43" s="852"/>
      <c r="P43" s="852"/>
      <c r="Q43" s="852"/>
      <c r="R43" s="852"/>
      <c r="S43" s="852"/>
      <c r="T43" s="852"/>
      <c r="U43" s="852"/>
      <c r="V43" s="852"/>
      <c r="W43" s="852"/>
      <c r="X43" s="852"/>
      <c r="Y43" s="852"/>
      <c r="Z43" s="852"/>
      <c r="AA43" s="852"/>
      <c r="AB43" s="852"/>
      <c r="AC43" s="852"/>
      <c r="AD43" s="852"/>
      <c r="AE43" s="852"/>
      <c r="AF43" s="852"/>
      <c r="AG43" s="852"/>
      <c r="AH43" s="852"/>
      <c r="AI43" s="852"/>
      <c r="AJ43" s="852"/>
      <c r="AK43" s="852"/>
      <c r="AL43" s="852"/>
      <c r="AM43" s="852"/>
      <c r="AN43" s="852"/>
      <c r="AO43" s="852"/>
      <c r="AP43" s="852"/>
      <c r="AQ43" s="852"/>
      <c r="AR43" s="852"/>
      <c r="AS43" s="852"/>
      <c r="AT43" s="852"/>
      <c r="AU43" s="852"/>
      <c r="AV43" s="852"/>
      <c r="AW43" s="852"/>
      <c r="AX43" s="852"/>
      <c r="AY43" s="852"/>
      <c r="AZ43" s="853"/>
      <c r="BB43" s="689" t="s">
        <v>61</v>
      </c>
      <c r="BC43" s="690" t="s">
        <v>63</v>
      </c>
      <c r="BD43" s="692"/>
      <c r="CC43" s="644">
        <v>178</v>
      </c>
      <c r="CD43" s="644" t="s">
        <v>356</v>
      </c>
      <c r="CE43" s="645">
        <v>562932</v>
      </c>
      <c r="CF43" s="646">
        <v>222000</v>
      </c>
      <c r="CG43" s="646">
        <v>52000</v>
      </c>
      <c r="CH43" s="646">
        <v>832000</v>
      </c>
    </row>
    <row r="44" spans="3:86" ht="18" customHeight="1">
      <c r="C44" s="484"/>
      <c r="D44" s="851"/>
      <c r="E44" s="852"/>
      <c r="F44" s="852"/>
      <c r="G44" s="852"/>
      <c r="H44" s="852"/>
      <c r="I44" s="852"/>
      <c r="J44" s="852"/>
      <c r="K44" s="852"/>
      <c r="L44" s="852"/>
      <c r="M44" s="852"/>
      <c r="N44" s="852"/>
      <c r="O44" s="852"/>
      <c r="P44" s="852"/>
      <c r="Q44" s="852"/>
      <c r="R44" s="852"/>
      <c r="S44" s="852"/>
      <c r="T44" s="852"/>
      <c r="U44" s="852"/>
      <c r="V44" s="852"/>
      <c r="W44" s="852"/>
      <c r="X44" s="852"/>
      <c r="Y44" s="852"/>
      <c r="Z44" s="852"/>
      <c r="AA44" s="852"/>
      <c r="AB44" s="852"/>
      <c r="AC44" s="852"/>
      <c r="AD44" s="852"/>
      <c r="AE44" s="852"/>
      <c r="AF44" s="852"/>
      <c r="AG44" s="852"/>
      <c r="AH44" s="852"/>
      <c r="AI44" s="852"/>
      <c r="AJ44" s="852"/>
      <c r="AK44" s="852"/>
      <c r="AL44" s="852"/>
      <c r="AM44" s="852"/>
      <c r="AN44" s="852"/>
      <c r="AO44" s="852"/>
      <c r="AP44" s="852"/>
      <c r="AQ44" s="852"/>
      <c r="AR44" s="852"/>
      <c r="AS44" s="852"/>
      <c r="AT44" s="852"/>
      <c r="AU44" s="852"/>
      <c r="AV44" s="852"/>
      <c r="AW44" s="852"/>
      <c r="AX44" s="852"/>
      <c r="AY44" s="852"/>
      <c r="AZ44" s="853"/>
      <c r="BD44" s="692"/>
      <c r="CC44" s="644">
        <v>188</v>
      </c>
      <c r="CD44" s="644" t="s">
        <v>357</v>
      </c>
      <c r="CE44" s="645">
        <v>149518.6</v>
      </c>
      <c r="CF44" s="646">
        <v>76840</v>
      </c>
      <c r="CG44" s="646">
        <v>0</v>
      </c>
      <c r="CH44" s="646">
        <v>113000</v>
      </c>
    </row>
    <row r="45" spans="3:86" ht="18" customHeight="1">
      <c r="C45" s="484"/>
      <c r="D45" s="851"/>
      <c r="E45" s="852"/>
      <c r="F45" s="852"/>
      <c r="G45" s="852"/>
      <c r="H45" s="852"/>
      <c r="I45" s="852"/>
      <c r="J45" s="852"/>
      <c r="K45" s="852"/>
      <c r="L45" s="852"/>
      <c r="M45" s="852"/>
      <c r="N45" s="852"/>
      <c r="O45" s="852"/>
      <c r="P45" s="852"/>
      <c r="Q45" s="852"/>
      <c r="R45" s="852"/>
      <c r="S45" s="852"/>
      <c r="T45" s="852"/>
      <c r="U45" s="852"/>
      <c r="V45" s="852"/>
      <c r="W45" s="852"/>
      <c r="X45" s="852"/>
      <c r="Y45" s="852"/>
      <c r="Z45" s="852"/>
      <c r="AA45" s="852"/>
      <c r="AB45" s="852"/>
      <c r="AC45" s="852"/>
      <c r="AD45" s="852"/>
      <c r="AE45" s="852"/>
      <c r="AF45" s="852"/>
      <c r="AG45" s="852"/>
      <c r="AH45" s="852"/>
      <c r="AI45" s="852"/>
      <c r="AJ45" s="852"/>
      <c r="AK45" s="852"/>
      <c r="AL45" s="852"/>
      <c r="AM45" s="852"/>
      <c r="AN45" s="852"/>
      <c r="AO45" s="852"/>
      <c r="AP45" s="852"/>
      <c r="AQ45" s="852"/>
      <c r="AR45" s="852"/>
      <c r="AS45" s="852"/>
      <c r="AT45" s="852"/>
      <c r="AU45" s="852"/>
      <c r="AV45" s="852"/>
      <c r="AW45" s="852"/>
      <c r="AX45" s="852"/>
      <c r="AY45" s="852"/>
      <c r="AZ45" s="853"/>
      <c r="CC45" s="644">
        <v>384</v>
      </c>
      <c r="CD45" s="644" t="s">
        <v>148</v>
      </c>
      <c r="CE45" s="645">
        <v>434676.08</v>
      </c>
      <c r="CF45" s="646">
        <v>37700</v>
      </c>
      <c r="CG45" s="646">
        <v>4300</v>
      </c>
      <c r="CH45" s="646">
        <v>84140</v>
      </c>
    </row>
    <row r="46" spans="3:86" ht="18" customHeight="1">
      <c r="C46" s="484"/>
      <c r="D46" s="851"/>
      <c r="E46" s="852"/>
      <c r="F46" s="852"/>
      <c r="G46" s="852"/>
      <c r="H46" s="852"/>
      <c r="I46" s="852"/>
      <c r="J46" s="852"/>
      <c r="K46" s="852"/>
      <c r="L46" s="852"/>
      <c r="M46" s="852"/>
      <c r="N46" s="852"/>
      <c r="O46" s="852"/>
      <c r="P46" s="852"/>
      <c r="Q46" s="852"/>
      <c r="R46" s="852"/>
      <c r="S46" s="852"/>
      <c r="T46" s="852"/>
      <c r="U46" s="852"/>
      <c r="V46" s="852"/>
      <c r="W46" s="852"/>
      <c r="X46" s="852"/>
      <c r="Y46" s="852"/>
      <c r="Z46" s="852"/>
      <c r="AA46" s="852"/>
      <c r="AB46" s="852"/>
      <c r="AC46" s="852"/>
      <c r="AD46" s="852"/>
      <c r="AE46" s="852"/>
      <c r="AF46" s="852"/>
      <c r="AG46" s="852"/>
      <c r="AH46" s="852"/>
      <c r="AI46" s="852"/>
      <c r="AJ46" s="852"/>
      <c r="AK46" s="852"/>
      <c r="AL46" s="852"/>
      <c r="AM46" s="852"/>
      <c r="AN46" s="852"/>
      <c r="AO46" s="852"/>
      <c r="AP46" s="852"/>
      <c r="AQ46" s="852"/>
      <c r="AR46" s="852"/>
      <c r="AS46" s="852"/>
      <c r="AT46" s="852"/>
      <c r="AU46" s="852"/>
      <c r="AV46" s="852"/>
      <c r="AW46" s="852"/>
      <c r="AX46" s="852"/>
      <c r="AY46" s="852"/>
      <c r="AZ46" s="853"/>
      <c r="BD46" s="692"/>
      <c r="CC46" s="644">
        <v>191</v>
      </c>
      <c r="CD46" s="644" t="s">
        <v>358</v>
      </c>
      <c r="CE46" s="645">
        <v>62989.122</v>
      </c>
      <c r="CF46" s="646">
        <v>0</v>
      </c>
      <c r="CG46" s="646">
        <v>33470</v>
      </c>
      <c r="CH46" s="646">
        <v>105500</v>
      </c>
    </row>
    <row r="47" spans="3:86" ht="18" customHeight="1">
      <c r="C47" s="484"/>
      <c r="D47" s="851"/>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2"/>
      <c r="AO47" s="852"/>
      <c r="AP47" s="852"/>
      <c r="AQ47" s="852"/>
      <c r="AR47" s="852"/>
      <c r="AS47" s="852"/>
      <c r="AT47" s="852"/>
      <c r="AU47" s="852"/>
      <c r="AV47" s="852"/>
      <c r="AW47" s="852"/>
      <c r="AX47" s="852"/>
      <c r="AY47" s="852"/>
      <c r="AZ47" s="853"/>
      <c r="BB47" s="692"/>
      <c r="BC47" s="692"/>
      <c r="BD47" s="692"/>
      <c r="CC47" s="644">
        <v>192</v>
      </c>
      <c r="CD47" s="644" t="s">
        <v>359</v>
      </c>
      <c r="CE47" s="645">
        <v>146689.8</v>
      </c>
      <c r="CF47" s="646">
        <v>38120</v>
      </c>
      <c r="CG47" s="646">
        <v>0</v>
      </c>
      <c r="CH47" s="646">
        <v>38120</v>
      </c>
    </row>
    <row r="48" spans="3:86" ht="18" customHeight="1">
      <c r="C48" s="484"/>
      <c r="D48" s="851"/>
      <c r="E48" s="852"/>
      <c r="F48" s="852"/>
      <c r="G48" s="852"/>
      <c r="H48" s="852"/>
      <c r="I48" s="852"/>
      <c r="J48" s="852"/>
      <c r="K48" s="852"/>
      <c r="L48" s="852"/>
      <c r="M48" s="852"/>
      <c r="N48" s="852"/>
      <c r="O48" s="852"/>
      <c r="P48" s="852"/>
      <c r="Q48" s="852"/>
      <c r="R48" s="852"/>
      <c r="S48" s="852"/>
      <c r="T48" s="852"/>
      <c r="U48" s="852"/>
      <c r="V48" s="852"/>
      <c r="W48" s="852"/>
      <c r="X48" s="852"/>
      <c r="Y48" s="852"/>
      <c r="Z48" s="852"/>
      <c r="AA48" s="852"/>
      <c r="AB48" s="852"/>
      <c r="AC48" s="852"/>
      <c r="AD48" s="852"/>
      <c r="AE48" s="852"/>
      <c r="AF48" s="852"/>
      <c r="AG48" s="852"/>
      <c r="AH48" s="852"/>
      <c r="AI48" s="852"/>
      <c r="AJ48" s="852"/>
      <c r="AK48" s="852"/>
      <c r="AL48" s="852"/>
      <c r="AM48" s="852"/>
      <c r="AN48" s="852"/>
      <c r="AO48" s="852"/>
      <c r="AP48" s="852"/>
      <c r="AQ48" s="852"/>
      <c r="AR48" s="852"/>
      <c r="AS48" s="852"/>
      <c r="AT48" s="852"/>
      <c r="AU48" s="852"/>
      <c r="AV48" s="852"/>
      <c r="AW48" s="852"/>
      <c r="AX48" s="852"/>
      <c r="AY48" s="852"/>
      <c r="AZ48" s="853"/>
      <c r="CC48" s="644">
        <v>196</v>
      </c>
      <c r="CD48" s="644" t="s">
        <v>360</v>
      </c>
      <c r="CE48" s="645">
        <v>4606.5</v>
      </c>
      <c r="CF48" s="646">
        <v>780</v>
      </c>
      <c r="CG48" s="646">
        <v>0</v>
      </c>
      <c r="CH48" s="646">
        <v>780</v>
      </c>
    </row>
    <row r="49" spans="3:86" ht="18" customHeight="1">
      <c r="C49" s="484"/>
      <c r="D49" s="851"/>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C49" s="852"/>
      <c r="AD49" s="852"/>
      <c r="AE49" s="852"/>
      <c r="AF49" s="852"/>
      <c r="AG49" s="852"/>
      <c r="AH49" s="852"/>
      <c r="AI49" s="852"/>
      <c r="AJ49" s="852"/>
      <c r="AK49" s="852"/>
      <c r="AL49" s="852"/>
      <c r="AM49" s="852"/>
      <c r="AN49" s="852"/>
      <c r="AO49" s="852"/>
      <c r="AP49" s="852"/>
      <c r="AQ49" s="852"/>
      <c r="AR49" s="852"/>
      <c r="AS49" s="852"/>
      <c r="AT49" s="852"/>
      <c r="AU49" s="852"/>
      <c r="AV49" s="852"/>
      <c r="AW49" s="852"/>
      <c r="AX49" s="852"/>
      <c r="AY49" s="852"/>
      <c r="AZ49" s="853"/>
      <c r="CC49" s="644">
        <v>408</v>
      </c>
      <c r="CD49" s="644" t="s">
        <v>149</v>
      </c>
      <c r="CE49" s="645">
        <v>127049.16</v>
      </c>
      <c r="CF49" s="646">
        <v>67000</v>
      </c>
      <c r="CG49" s="646">
        <v>0</v>
      </c>
      <c r="CH49" s="646">
        <v>77150</v>
      </c>
    </row>
    <row r="50" spans="3:86" ht="18" customHeight="1">
      <c r="C50" s="484"/>
      <c r="D50" s="851"/>
      <c r="E50" s="852"/>
      <c r="F50" s="852"/>
      <c r="G50" s="852"/>
      <c r="H50" s="852"/>
      <c r="I50" s="852"/>
      <c r="J50" s="852"/>
      <c r="K50" s="852"/>
      <c r="L50" s="852"/>
      <c r="M50" s="852"/>
      <c r="N50" s="852"/>
      <c r="O50" s="852"/>
      <c r="P50" s="852"/>
      <c r="Q50" s="852"/>
      <c r="R50" s="852"/>
      <c r="S50" s="852"/>
      <c r="T50" s="852"/>
      <c r="U50" s="852"/>
      <c r="V50" s="852"/>
      <c r="W50" s="852"/>
      <c r="X50" s="852"/>
      <c r="Y50" s="852"/>
      <c r="Z50" s="852"/>
      <c r="AA50" s="852"/>
      <c r="AB50" s="852"/>
      <c r="AC50" s="852"/>
      <c r="AD50" s="852"/>
      <c r="AE50" s="852"/>
      <c r="AF50" s="852"/>
      <c r="AG50" s="852"/>
      <c r="AH50" s="852"/>
      <c r="AI50" s="852"/>
      <c r="AJ50" s="852"/>
      <c r="AK50" s="852"/>
      <c r="AL50" s="852"/>
      <c r="AM50" s="852"/>
      <c r="AN50" s="852"/>
      <c r="AO50" s="852"/>
      <c r="AP50" s="852"/>
      <c r="AQ50" s="852"/>
      <c r="AR50" s="852"/>
      <c r="AS50" s="852"/>
      <c r="AT50" s="852"/>
      <c r="AU50" s="852"/>
      <c r="AV50" s="852"/>
      <c r="AW50" s="852"/>
      <c r="AX50" s="852"/>
      <c r="AY50" s="852"/>
      <c r="AZ50" s="853"/>
      <c r="CC50" s="644">
        <v>180</v>
      </c>
      <c r="CD50" s="644" t="s">
        <v>150</v>
      </c>
      <c r="CE50" s="645">
        <v>3618118.98</v>
      </c>
      <c r="CF50" s="646">
        <v>900000</v>
      </c>
      <c r="CG50" s="646">
        <v>383000</v>
      </c>
      <c r="CH50" s="646">
        <v>1283000</v>
      </c>
    </row>
    <row r="51" spans="3:86" ht="18" customHeight="1">
      <c r="C51" s="484"/>
      <c r="D51" s="851"/>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52"/>
      <c r="AM51" s="852"/>
      <c r="AN51" s="852"/>
      <c r="AO51" s="852"/>
      <c r="AP51" s="852"/>
      <c r="AQ51" s="852"/>
      <c r="AR51" s="852"/>
      <c r="AS51" s="852"/>
      <c r="AT51" s="852"/>
      <c r="AU51" s="852"/>
      <c r="AV51" s="852"/>
      <c r="AW51" s="852"/>
      <c r="AX51" s="852"/>
      <c r="AY51" s="852"/>
      <c r="AZ51" s="853"/>
      <c r="CC51" s="644">
        <v>262</v>
      </c>
      <c r="CD51" s="644" t="s">
        <v>361</v>
      </c>
      <c r="CE51" s="645">
        <v>5104</v>
      </c>
      <c r="CF51" s="646">
        <v>300</v>
      </c>
      <c r="CG51" s="646">
        <v>0</v>
      </c>
      <c r="CH51" s="646">
        <v>300</v>
      </c>
    </row>
    <row r="52" spans="3:86" ht="18" customHeight="1">
      <c r="C52" s="484"/>
      <c r="D52" s="851"/>
      <c r="E52" s="852"/>
      <c r="F52" s="852"/>
      <c r="G52" s="852"/>
      <c r="H52" s="852"/>
      <c r="I52" s="852"/>
      <c r="J52" s="852"/>
      <c r="K52" s="852"/>
      <c r="L52" s="852"/>
      <c r="M52" s="852"/>
      <c r="N52" s="852"/>
      <c r="O52" s="852"/>
      <c r="P52" s="852"/>
      <c r="Q52" s="852"/>
      <c r="R52" s="852"/>
      <c r="S52" s="852"/>
      <c r="T52" s="852"/>
      <c r="U52" s="852"/>
      <c r="V52" s="852"/>
      <c r="W52" s="852"/>
      <c r="X52" s="852"/>
      <c r="Y52" s="852"/>
      <c r="Z52" s="852"/>
      <c r="AA52" s="852"/>
      <c r="AB52" s="852"/>
      <c r="AC52" s="852"/>
      <c r="AD52" s="852"/>
      <c r="AE52" s="852"/>
      <c r="AF52" s="852"/>
      <c r="AG52" s="852"/>
      <c r="AH52" s="852"/>
      <c r="AI52" s="852"/>
      <c r="AJ52" s="852"/>
      <c r="AK52" s="852"/>
      <c r="AL52" s="852"/>
      <c r="AM52" s="852"/>
      <c r="AN52" s="852"/>
      <c r="AO52" s="852"/>
      <c r="AP52" s="852"/>
      <c r="AQ52" s="852"/>
      <c r="AR52" s="852"/>
      <c r="AS52" s="852"/>
      <c r="AT52" s="852"/>
      <c r="AU52" s="852"/>
      <c r="AV52" s="852"/>
      <c r="AW52" s="852"/>
      <c r="AX52" s="852"/>
      <c r="AY52" s="852"/>
      <c r="AZ52" s="853"/>
      <c r="CC52" s="644">
        <v>212</v>
      </c>
      <c r="CD52" s="644" t="s">
        <v>362</v>
      </c>
      <c r="CE52" s="645">
        <v>1562.25</v>
      </c>
      <c r="CF52" s="646">
        <v>200</v>
      </c>
      <c r="CG52" s="646">
        <v>0</v>
      </c>
      <c r="CH52" s="646">
        <v>200</v>
      </c>
    </row>
    <row r="53" spans="3:86" ht="18" customHeight="1">
      <c r="C53" s="484"/>
      <c r="D53" s="851"/>
      <c r="E53" s="852"/>
      <c r="F53" s="852"/>
      <c r="G53" s="852"/>
      <c r="H53" s="852"/>
      <c r="I53" s="852"/>
      <c r="J53" s="852"/>
      <c r="K53" s="852"/>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2"/>
      <c r="AN53" s="852"/>
      <c r="AO53" s="852"/>
      <c r="AP53" s="852"/>
      <c r="AQ53" s="852"/>
      <c r="AR53" s="852"/>
      <c r="AS53" s="852"/>
      <c r="AT53" s="852"/>
      <c r="AU53" s="852"/>
      <c r="AV53" s="852"/>
      <c r="AW53" s="852"/>
      <c r="AX53" s="852"/>
      <c r="AY53" s="852"/>
      <c r="AZ53" s="853"/>
      <c r="CC53" s="644">
        <v>214</v>
      </c>
      <c r="CD53" s="644" t="s">
        <v>363</v>
      </c>
      <c r="CE53" s="645">
        <v>68624.7</v>
      </c>
      <c r="CF53" s="646">
        <v>23500</v>
      </c>
      <c r="CG53" s="646">
        <v>0</v>
      </c>
      <c r="CH53" s="646">
        <v>23500</v>
      </c>
    </row>
    <row r="54" spans="3:86" ht="18" customHeight="1">
      <c r="C54" s="484"/>
      <c r="D54" s="851"/>
      <c r="E54" s="852"/>
      <c r="F54" s="852"/>
      <c r="G54" s="852"/>
      <c r="H54" s="852"/>
      <c r="I54" s="852"/>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852"/>
      <c r="AO54" s="852"/>
      <c r="AP54" s="852"/>
      <c r="AQ54" s="852"/>
      <c r="AR54" s="852"/>
      <c r="AS54" s="852"/>
      <c r="AT54" s="852"/>
      <c r="AU54" s="852"/>
      <c r="AV54" s="852"/>
      <c r="AW54" s="852"/>
      <c r="AX54" s="852"/>
      <c r="AY54" s="852"/>
      <c r="AZ54" s="853"/>
      <c r="CC54" s="644">
        <v>218</v>
      </c>
      <c r="CD54" s="644" t="s">
        <v>364</v>
      </c>
      <c r="CE54" s="645">
        <v>582985.38</v>
      </c>
      <c r="CF54" s="646">
        <v>442400</v>
      </c>
      <c r="CG54" s="646">
        <v>0</v>
      </c>
      <c r="CH54" s="646">
        <v>442400</v>
      </c>
    </row>
    <row r="55" spans="3:86" ht="18" customHeight="1">
      <c r="C55" s="484"/>
      <c r="D55" s="851"/>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52"/>
      <c r="AP55" s="852"/>
      <c r="AQ55" s="852"/>
      <c r="AR55" s="852"/>
      <c r="AS55" s="852"/>
      <c r="AT55" s="852"/>
      <c r="AU55" s="852"/>
      <c r="AV55" s="852"/>
      <c r="AW55" s="852"/>
      <c r="AX55" s="852"/>
      <c r="AY55" s="852"/>
      <c r="AZ55" s="853"/>
      <c r="CC55" s="644">
        <v>818</v>
      </c>
      <c r="CD55" s="644" t="s">
        <v>365</v>
      </c>
      <c r="CE55" s="645">
        <v>18126.245000000003</v>
      </c>
      <c r="CF55" s="646">
        <v>1000</v>
      </c>
      <c r="CG55" s="646">
        <v>84000</v>
      </c>
      <c r="CH55" s="646">
        <v>57500</v>
      </c>
    </row>
    <row r="56" spans="3:86" ht="18" customHeight="1">
      <c r="C56" s="484"/>
      <c r="D56" s="851"/>
      <c r="E56" s="852"/>
      <c r="F56" s="852"/>
      <c r="G56" s="852"/>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852"/>
      <c r="AL56" s="852"/>
      <c r="AM56" s="852"/>
      <c r="AN56" s="852"/>
      <c r="AO56" s="852"/>
      <c r="AP56" s="852"/>
      <c r="AQ56" s="852"/>
      <c r="AR56" s="852"/>
      <c r="AS56" s="852"/>
      <c r="AT56" s="852"/>
      <c r="AU56" s="852"/>
      <c r="AV56" s="852"/>
      <c r="AW56" s="852"/>
      <c r="AX56" s="852"/>
      <c r="AY56" s="852"/>
      <c r="AZ56" s="853"/>
      <c r="CC56" s="644">
        <v>222</v>
      </c>
      <c r="CD56" s="644" t="s">
        <v>366</v>
      </c>
      <c r="CE56" s="645">
        <v>37535.36</v>
      </c>
      <c r="CF56" s="646">
        <v>15630</v>
      </c>
      <c r="CG56" s="646">
        <v>10640</v>
      </c>
      <c r="CH56" s="646">
        <v>26270</v>
      </c>
    </row>
    <row r="57" spans="3:86" ht="20.25" customHeight="1">
      <c r="C57" s="485"/>
      <c r="D57" s="861"/>
      <c r="E57" s="862"/>
      <c r="F57" s="862"/>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3"/>
      <c r="CC57" s="644">
        <v>226</v>
      </c>
      <c r="CD57" s="644" t="s">
        <v>367</v>
      </c>
      <c r="CE57" s="645">
        <v>60475.8</v>
      </c>
      <c r="CF57" s="646">
        <v>26000</v>
      </c>
      <c r="CG57" s="646">
        <v>0</v>
      </c>
      <c r="CH57" s="646">
        <v>26000</v>
      </c>
    </row>
    <row r="58" spans="3:86" ht="16.5" customHeight="1">
      <c r="C58" s="859"/>
      <c r="D58" s="860"/>
      <c r="E58" s="860"/>
      <c r="F58" s="860"/>
      <c r="G58" s="860"/>
      <c r="H58" s="860"/>
      <c r="I58" s="860"/>
      <c r="J58" s="860"/>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0"/>
      <c r="AI58" s="860"/>
      <c r="AJ58" s="860"/>
      <c r="AK58" s="860"/>
      <c r="AL58" s="860"/>
      <c r="AM58" s="860"/>
      <c r="AN58" s="860"/>
      <c r="AO58" s="860"/>
      <c r="AP58" s="281"/>
      <c r="AQ58" s="281"/>
      <c r="AR58" s="281"/>
      <c r="AS58" s="281"/>
      <c r="CC58" s="644">
        <v>232</v>
      </c>
      <c r="CD58" s="644" t="s">
        <v>368</v>
      </c>
      <c r="CE58" s="645">
        <v>46758.073728</v>
      </c>
      <c r="CF58" s="646">
        <v>2800</v>
      </c>
      <c r="CG58" s="646">
        <v>700</v>
      </c>
      <c r="CH58" s="646">
        <v>7315</v>
      </c>
    </row>
    <row r="59" spans="3:86" ht="12.75">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860"/>
      <c r="AM59" s="860"/>
      <c r="AN59" s="860"/>
      <c r="AO59" s="860"/>
      <c r="AP59" s="281"/>
      <c r="AQ59" s="281"/>
      <c r="AR59" s="281"/>
      <c r="AS59" s="281"/>
      <c r="CC59" s="644">
        <v>231</v>
      </c>
      <c r="CD59" s="644" t="s">
        <v>369</v>
      </c>
      <c r="CE59" s="645">
        <v>963533.637456</v>
      </c>
      <c r="CF59" s="646">
        <v>122000</v>
      </c>
      <c r="CG59" s="646">
        <v>0</v>
      </c>
      <c r="CH59" s="646">
        <v>122000</v>
      </c>
    </row>
    <row r="60" spans="81:86" ht="12.75">
      <c r="CC60" s="644">
        <v>234</v>
      </c>
      <c r="CD60" s="644" t="s">
        <v>504</v>
      </c>
      <c r="CE60" s="645">
        <v>0</v>
      </c>
      <c r="CF60" s="646">
        <v>0</v>
      </c>
      <c r="CG60" s="646">
        <v>0</v>
      </c>
      <c r="CH60" s="646">
        <v>0</v>
      </c>
    </row>
    <row r="61" spans="81:86" ht="12.75">
      <c r="CC61" s="644">
        <v>242</v>
      </c>
      <c r="CD61" s="644" t="s">
        <v>370</v>
      </c>
      <c r="CE61" s="645">
        <v>47355.840000000004</v>
      </c>
      <c r="CF61" s="646">
        <v>28550</v>
      </c>
      <c r="CG61" s="646">
        <v>0</v>
      </c>
      <c r="CH61" s="646">
        <v>28550</v>
      </c>
    </row>
    <row r="62" spans="81:86" ht="12.75">
      <c r="CC62" s="644">
        <v>254</v>
      </c>
      <c r="CD62" s="644" t="s">
        <v>371</v>
      </c>
      <c r="CE62" s="645">
        <v>0</v>
      </c>
      <c r="CF62" s="646">
        <v>0</v>
      </c>
      <c r="CG62" s="646">
        <v>0</v>
      </c>
      <c r="CH62" s="646">
        <v>0</v>
      </c>
    </row>
    <row r="63" spans="81:86" ht="12.75">
      <c r="CC63" s="644">
        <v>266</v>
      </c>
      <c r="CD63" s="644" t="s">
        <v>372</v>
      </c>
      <c r="CE63" s="645">
        <v>490103.77</v>
      </c>
      <c r="CF63" s="646">
        <v>164000</v>
      </c>
      <c r="CG63" s="646">
        <v>2000</v>
      </c>
      <c r="CH63" s="646">
        <v>166000</v>
      </c>
    </row>
    <row r="64" spans="81:86" ht="12.75">
      <c r="CC64" s="644">
        <v>270</v>
      </c>
      <c r="CD64" s="644" t="s">
        <v>373</v>
      </c>
      <c r="CE64" s="645">
        <v>9446.8</v>
      </c>
      <c r="CF64" s="646">
        <v>3000</v>
      </c>
      <c r="CG64" s="646">
        <v>5000</v>
      </c>
      <c r="CH64" s="646">
        <v>8000</v>
      </c>
    </row>
    <row r="65" spans="81:86" ht="12.75">
      <c r="CC65" s="644">
        <v>268</v>
      </c>
      <c r="CD65" s="644" t="s">
        <v>374</v>
      </c>
      <c r="CE65" s="645">
        <v>71512.20000000001</v>
      </c>
      <c r="CF65" s="646">
        <v>58130</v>
      </c>
      <c r="CG65" s="646">
        <v>8350</v>
      </c>
      <c r="CH65" s="646">
        <v>63330</v>
      </c>
    </row>
    <row r="66" spans="81:86" ht="12.75">
      <c r="CC66" s="644">
        <v>288</v>
      </c>
      <c r="CD66" s="644" t="s">
        <v>375</v>
      </c>
      <c r="CE66" s="645">
        <v>283146.98</v>
      </c>
      <c r="CF66" s="646">
        <v>30300</v>
      </c>
      <c r="CG66" s="646">
        <v>25900</v>
      </c>
      <c r="CH66" s="646">
        <v>56200</v>
      </c>
    </row>
    <row r="67" spans="81:86" ht="12.75">
      <c r="CC67" s="644">
        <v>304</v>
      </c>
      <c r="CD67" s="644" t="s">
        <v>376</v>
      </c>
      <c r="CE67" s="645"/>
      <c r="CF67" s="646"/>
      <c r="CG67" s="646"/>
      <c r="CH67" s="646"/>
    </row>
    <row r="68" spans="81:86" ht="12.75">
      <c r="CC68" s="644">
        <v>308</v>
      </c>
      <c r="CD68" s="644" t="s">
        <v>377</v>
      </c>
      <c r="CE68" s="645">
        <v>799</v>
      </c>
      <c r="CF68" s="646">
        <v>200</v>
      </c>
      <c r="CG68" s="646">
        <v>0</v>
      </c>
      <c r="CH68" s="646">
        <v>200</v>
      </c>
    </row>
    <row r="69" spans="81:86" ht="12.75">
      <c r="CC69" s="644">
        <v>312</v>
      </c>
      <c r="CD69" s="644" t="s">
        <v>378</v>
      </c>
      <c r="CE69" s="645">
        <v>0</v>
      </c>
      <c r="CF69" s="646">
        <v>0</v>
      </c>
      <c r="CG69" s="646">
        <v>0</v>
      </c>
      <c r="CH69" s="646">
        <v>0</v>
      </c>
    </row>
    <row r="70" spans="81:86" ht="12.75">
      <c r="CC70" s="644">
        <v>320</v>
      </c>
      <c r="CD70" s="644" t="s">
        <v>379</v>
      </c>
      <c r="CE70" s="645">
        <v>217344.44</v>
      </c>
      <c r="CF70" s="646">
        <v>109200</v>
      </c>
      <c r="CG70" s="646">
        <v>18710</v>
      </c>
      <c r="CH70" s="646">
        <v>127910</v>
      </c>
    </row>
    <row r="71" spans="81:86" ht="12.75">
      <c r="CC71" s="644">
        <v>324</v>
      </c>
      <c r="CD71" s="644" t="s">
        <v>380</v>
      </c>
      <c r="CE71" s="645">
        <v>405914.86</v>
      </c>
      <c r="CF71" s="646">
        <v>226000</v>
      </c>
      <c r="CG71" s="646">
        <v>0</v>
      </c>
      <c r="CH71" s="646">
        <v>226000</v>
      </c>
    </row>
    <row r="72" spans="81:86" ht="12.75">
      <c r="CC72" s="644">
        <v>624</v>
      </c>
      <c r="CD72" s="644" t="s">
        <v>381</v>
      </c>
      <c r="CE72" s="645">
        <v>56977.01</v>
      </c>
      <c r="CF72" s="646">
        <v>16000</v>
      </c>
      <c r="CG72" s="646">
        <v>15400</v>
      </c>
      <c r="CH72" s="646">
        <v>31400</v>
      </c>
    </row>
    <row r="73" spans="81:86" ht="12.75">
      <c r="CC73" s="644">
        <v>328</v>
      </c>
      <c r="CD73" s="644" t="s">
        <v>386</v>
      </c>
      <c r="CE73" s="645">
        <v>513133.38999999996</v>
      </c>
      <c r="CF73" s="646">
        <v>241000</v>
      </c>
      <c r="CG73" s="646">
        <v>30000</v>
      </c>
      <c r="CH73" s="646">
        <v>271000</v>
      </c>
    </row>
    <row r="74" spans="81:86" ht="12.75">
      <c r="CC74" s="644">
        <v>332</v>
      </c>
      <c r="CD74" s="644" t="s">
        <v>387</v>
      </c>
      <c r="CE74" s="645">
        <v>39960</v>
      </c>
      <c r="CF74" s="646">
        <v>13007</v>
      </c>
      <c r="CG74" s="646">
        <v>1014.9999999999999</v>
      </c>
      <c r="CH74" s="646">
        <v>14022</v>
      </c>
    </row>
    <row r="75" spans="81:86" ht="12.75">
      <c r="CC75" s="644">
        <v>336</v>
      </c>
      <c r="CD75" s="644" t="s">
        <v>505</v>
      </c>
      <c r="CE75" s="645">
        <v>0</v>
      </c>
      <c r="CF75" s="646">
        <v>0</v>
      </c>
      <c r="CG75" s="646">
        <v>0</v>
      </c>
      <c r="CH75" s="646">
        <v>0</v>
      </c>
    </row>
    <row r="76" spans="81:86" ht="12.75">
      <c r="CC76" s="644">
        <v>340</v>
      </c>
      <c r="CD76" s="644" t="s">
        <v>388</v>
      </c>
      <c r="CE76" s="645">
        <v>222280.24</v>
      </c>
      <c r="CF76" s="646">
        <v>90660</v>
      </c>
      <c r="CG76" s="646">
        <v>1504</v>
      </c>
      <c r="CH76" s="646">
        <v>92164</v>
      </c>
    </row>
    <row r="77" spans="81:86" ht="12.75">
      <c r="CC77" s="644">
        <v>356</v>
      </c>
      <c r="CD77" s="644" t="s">
        <v>389</v>
      </c>
      <c r="CE77" s="645">
        <v>3560102.58</v>
      </c>
      <c r="CF77" s="646">
        <v>1446000</v>
      </c>
      <c r="CG77" s="646">
        <v>635200</v>
      </c>
      <c r="CH77" s="646">
        <v>1910900</v>
      </c>
    </row>
    <row r="78" spans="81:86" ht="12.75">
      <c r="CC78" s="644">
        <v>360</v>
      </c>
      <c r="CD78" s="644" t="s">
        <v>390</v>
      </c>
      <c r="CE78" s="645">
        <v>5179361.6644</v>
      </c>
      <c r="CF78" s="646">
        <v>2018700</v>
      </c>
      <c r="CG78" s="646">
        <v>0</v>
      </c>
      <c r="CH78" s="646">
        <v>2018700</v>
      </c>
    </row>
    <row r="79" spans="81:86" ht="12.75">
      <c r="CC79" s="644">
        <v>364</v>
      </c>
      <c r="CD79" s="644" t="s">
        <v>391</v>
      </c>
      <c r="CE79" s="645">
        <v>397894.2</v>
      </c>
      <c r="CF79" s="646">
        <v>128500</v>
      </c>
      <c r="CG79" s="646">
        <v>7770</v>
      </c>
      <c r="CH79" s="646">
        <v>137045</v>
      </c>
    </row>
    <row r="80" spans="81:86" ht="12.75">
      <c r="CC80" s="644">
        <v>368</v>
      </c>
      <c r="CD80" s="644" t="s">
        <v>392</v>
      </c>
      <c r="CE80" s="645">
        <v>93971.232</v>
      </c>
      <c r="CF80" s="646">
        <v>35200</v>
      </c>
      <c r="CG80" s="646">
        <v>61330</v>
      </c>
      <c r="CH80" s="646">
        <v>89860</v>
      </c>
    </row>
    <row r="81" spans="81:86" ht="12.75">
      <c r="CC81" s="644">
        <v>376</v>
      </c>
      <c r="CD81" s="644" t="s">
        <v>393</v>
      </c>
      <c r="CE81" s="645">
        <v>78573.04000000001</v>
      </c>
      <c r="CF81" s="646">
        <v>49000</v>
      </c>
      <c r="CG81" s="646">
        <v>3000</v>
      </c>
      <c r="CH81" s="646">
        <v>52000</v>
      </c>
    </row>
    <row r="82" spans="81:86" ht="12.75">
      <c r="CC82" s="644">
        <v>388</v>
      </c>
      <c r="CD82" s="644" t="s">
        <v>394</v>
      </c>
      <c r="CE82" s="645">
        <v>22540.489999999998</v>
      </c>
      <c r="CF82" s="646">
        <v>10823</v>
      </c>
      <c r="CG82" s="646">
        <v>0</v>
      </c>
      <c r="CH82" s="646">
        <v>10823</v>
      </c>
    </row>
    <row r="83" spans="81:86" ht="12.75">
      <c r="CC83" s="644">
        <v>400</v>
      </c>
      <c r="CD83" s="644" t="s">
        <v>395</v>
      </c>
      <c r="CE83" s="645">
        <v>9914.52</v>
      </c>
      <c r="CF83" s="646">
        <v>682</v>
      </c>
      <c r="CG83" s="646">
        <v>400</v>
      </c>
      <c r="CH83" s="646">
        <v>937</v>
      </c>
    </row>
    <row r="84" spans="81:86" ht="12.75">
      <c r="CC84" s="644">
        <v>398</v>
      </c>
      <c r="CD84" s="644" t="s">
        <v>396</v>
      </c>
      <c r="CE84" s="645">
        <v>681225.5</v>
      </c>
      <c r="CF84" s="646">
        <v>64349.99999999999</v>
      </c>
      <c r="CG84" s="646">
        <v>72040</v>
      </c>
      <c r="CH84" s="646">
        <v>108410</v>
      </c>
    </row>
    <row r="85" spans="81:86" ht="12.75">
      <c r="CC85" s="644">
        <v>404</v>
      </c>
      <c r="CD85" s="644" t="s">
        <v>397</v>
      </c>
      <c r="CE85" s="645">
        <v>365633.10000000003</v>
      </c>
      <c r="CF85" s="646">
        <v>20700</v>
      </c>
      <c r="CG85" s="646">
        <v>10000</v>
      </c>
      <c r="CH85" s="646">
        <v>30700</v>
      </c>
    </row>
    <row r="86" spans="81:86" ht="12.75">
      <c r="CC86" s="644">
        <v>296</v>
      </c>
      <c r="CD86" s="644" t="s">
        <v>151</v>
      </c>
      <c r="CE86" s="645">
        <v>0</v>
      </c>
      <c r="CF86" s="646">
        <v>0</v>
      </c>
      <c r="CG86" s="646">
        <v>0</v>
      </c>
      <c r="CH86" s="646">
        <v>0</v>
      </c>
    </row>
    <row r="87" spans="81:86" ht="12.75">
      <c r="CC87" s="644">
        <v>414</v>
      </c>
      <c r="CD87" s="644" t="s">
        <v>398</v>
      </c>
      <c r="CE87" s="645">
        <v>2156.22</v>
      </c>
      <c r="CF87" s="646">
        <v>0</v>
      </c>
      <c r="CG87" s="646">
        <v>0</v>
      </c>
      <c r="CH87" s="646">
        <v>20</v>
      </c>
    </row>
    <row r="88" spans="81:86" ht="12.75">
      <c r="CC88" s="644">
        <v>417</v>
      </c>
      <c r="CD88" s="644" t="s">
        <v>399</v>
      </c>
      <c r="CE88" s="645">
        <v>106572.817</v>
      </c>
      <c r="CF88" s="646">
        <v>48930</v>
      </c>
      <c r="CG88" s="646">
        <v>558</v>
      </c>
      <c r="CH88" s="646">
        <v>23618</v>
      </c>
    </row>
    <row r="89" spans="81:86" ht="12.75">
      <c r="CC89" s="644">
        <v>418</v>
      </c>
      <c r="CD89" s="644" t="s">
        <v>152</v>
      </c>
      <c r="CE89" s="645">
        <v>434291.2</v>
      </c>
      <c r="CF89" s="646">
        <v>190400</v>
      </c>
      <c r="CG89" s="646">
        <v>143100</v>
      </c>
      <c r="CH89" s="646">
        <v>333500</v>
      </c>
    </row>
    <row r="90" spans="81:86" ht="12.75">
      <c r="CC90" s="644">
        <v>428</v>
      </c>
      <c r="CD90" s="644" t="s">
        <v>400</v>
      </c>
      <c r="CE90" s="645">
        <v>43084.198000000004</v>
      </c>
      <c r="CF90" s="646">
        <v>16940</v>
      </c>
      <c r="CG90" s="646">
        <v>18000</v>
      </c>
      <c r="CH90" s="646">
        <v>34940</v>
      </c>
    </row>
    <row r="91" spans="81:86" ht="12.75">
      <c r="CC91" s="644">
        <v>422</v>
      </c>
      <c r="CD91" s="644" t="s">
        <v>401</v>
      </c>
      <c r="CE91" s="645">
        <v>6907.45</v>
      </c>
      <c r="CF91" s="646">
        <v>4800</v>
      </c>
      <c r="CG91" s="646">
        <v>0</v>
      </c>
      <c r="CH91" s="646">
        <v>4503</v>
      </c>
    </row>
    <row r="92" spans="81:86" ht="12.75">
      <c r="CC92" s="644">
        <v>426</v>
      </c>
      <c r="CD92" s="644" t="s">
        <v>402</v>
      </c>
      <c r="CE92" s="645">
        <v>23923.68</v>
      </c>
      <c r="CF92" s="646">
        <v>5230</v>
      </c>
      <c r="CG92" s="646">
        <v>0</v>
      </c>
      <c r="CH92" s="646">
        <v>3022</v>
      </c>
    </row>
    <row r="93" spans="81:86" ht="12.75">
      <c r="CC93" s="644">
        <v>430</v>
      </c>
      <c r="CD93" s="644" t="s">
        <v>403</v>
      </c>
      <c r="CE93" s="645">
        <v>266285.67</v>
      </c>
      <c r="CF93" s="646">
        <v>200000</v>
      </c>
      <c r="CG93" s="646">
        <v>32000</v>
      </c>
      <c r="CH93" s="646">
        <v>232000</v>
      </c>
    </row>
    <row r="94" spans="81:86" ht="12.75">
      <c r="CC94" s="644">
        <v>434</v>
      </c>
      <c r="CD94" s="644" t="s">
        <v>153</v>
      </c>
      <c r="CE94" s="645">
        <v>98534.23999999999</v>
      </c>
      <c r="CF94" s="646">
        <v>700</v>
      </c>
      <c r="CG94" s="646">
        <v>0</v>
      </c>
      <c r="CH94" s="646">
        <v>700</v>
      </c>
    </row>
    <row r="95" spans="81:86" ht="12.75">
      <c r="CC95" s="644">
        <v>438</v>
      </c>
      <c r="CD95" s="644" t="s">
        <v>154</v>
      </c>
      <c r="CE95" s="645">
        <v>0</v>
      </c>
      <c r="CF95" s="646">
        <v>0</v>
      </c>
      <c r="CG95" s="646">
        <v>0</v>
      </c>
      <c r="CH95" s="646">
        <v>0</v>
      </c>
    </row>
    <row r="96" spans="81:86" ht="12.75">
      <c r="CC96" s="644">
        <v>440</v>
      </c>
      <c r="CD96" s="644" t="s">
        <v>404</v>
      </c>
      <c r="CE96" s="645">
        <v>42830.240000000005</v>
      </c>
      <c r="CF96" s="646">
        <v>15460</v>
      </c>
      <c r="CG96" s="646">
        <v>9040</v>
      </c>
      <c r="CH96" s="646">
        <v>24500</v>
      </c>
    </row>
    <row r="97" spans="81:86" ht="12.75">
      <c r="CC97" s="644">
        <v>450</v>
      </c>
      <c r="CD97" s="644" t="s">
        <v>405</v>
      </c>
      <c r="CE97" s="645">
        <v>888577.335</v>
      </c>
      <c r="CF97" s="646">
        <v>337000</v>
      </c>
      <c r="CG97" s="646">
        <v>0</v>
      </c>
      <c r="CH97" s="646">
        <v>337000</v>
      </c>
    </row>
    <row r="98" spans="81:86" ht="12.75">
      <c r="CC98" s="644">
        <v>454</v>
      </c>
      <c r="CD98" s="644" t="s">
        <v>406</v>
      </c>
      <c r="CE98" s="645">
        <v>139924.88</v>
      </c>
      <c r="CF98" s="646">
        <v>16140</v>
      </c>
      <c r="CG98" s="646">
        <v>1000</v>
      </c>
      <c r="CH98" s="646">
        <v>17280</v>
      </c>
    </row>
    <row r="99" spans="81:86" ht="12.75">
      <c r="CC99" s="644">
        <v>458</v>
      </c>
      <c r="CD99" s="644" t="s">
        <v>407</v>
      </c>
      <c r="CE99" s="645">
        <v>951050</v>
      </c>
      <c r="CF99" s="646">
        <v>580000</v>
      </c>
      <c r="CG99" s="646">
        <v>0</v>
      </c>
      <c r="CH99" s="646">
        <v>580000</v>
      </c>
    </row>
    <row r="100" spans="81:86" ht="12.75">
      <c r="CC100" s="644">
        <v>462</v>
      </c>
      <c r="CD100" s="644" t="s">
        <v>408</v>
      </c>
      <c r="CE100" s="645">
        <v>591.6</v>
      </c>
      <c r="CF100" s="646">
        <v>30</v>
      </c>
      <c r="CG100" s="646">
        <v>0</v>
      </c>
      <c r="CH100" s="646">
        <v>30</v>
      </c>
    </row>
    <row r="101" spans="81:86" ht="12.75">
      <c r="CC101" s="644">
        <v>466</v>
      </c>
      <c r="CD101" s="644" t="s">
        <v>409</v>
      </c>
      <c r="CE101" s="645">
        <v>349733.58</v>
      </c>
      <c r="CF101" s="646">
        <v>60000</v>
      </c>
      <c r="CG101" s="646">
        <v>60000</v>
      </c>
      <c r="CH101" s="646">
        <v>120000</v>
      </c>
    </row>
    <row r="102" spans="81:86" ht="12.75">
      <c r="CC102" s="644">
        <v>470</v>
      </c>
      <c r="CD102" s="644" t="s">
        <v>410</v>
      </c>
      <c r="CE102" s="645">
        <v>179.2</v>
      </c>
      <c r="CF102" s="646">
        <v>50.5</v>
      </c>
      <c r="CG102" s="646">
        <v>0</v>
      </c>
      <c r="CH102" s="646">
        <v>50.5</v>
      </c>
    </row>
    <row r="103" spans="81:86" ht="12.75">
      <c r="CC103" s="644">
        <v>584</v>
      </c>
      <c r="CD103" s="644" t="s">
        <v>155</v>
      </c>
      <c r="CE103" s="645">
        <v>0</v>
      </c>
      <c r="CF103" s="646">
        <v>0</v>
      </c>
      <c r="CG103" s="646">
        <v>0</v>
      </c>
      <c r="CH103" s="646">
        <v>0</v>
      </c>
    </row>
    <row r="104" spans="81:86" ht="12.75">
      <c r="CC104" s="644">
        <v>474</v>
      </c>
      <c r="CD104" s="644" t="s">
        <v>411</v>
      </c>
      <c r="CE104" s="645">
        <v>0</v>
      </c>
      <c r="CF104" s="646">
        <v>0</v>
      </c>
      <c r="CG104" s="646">
        <v>0</v>
      </c>
      <c r="CH104" s="646">
        <v>0</v>
      </c>
    </row>
    <row r="105" spans="81:86" ht="12.75">
      <c r="CC105" s="644">
        <v>478</v>
      </c>
      <c r="CD105" s="644" t="s">
        <v>412</v>
      </c>
      <c r="CE105" s="645">
        <v>94824.4</v>
      </c>
      <c r="CF105" s="646">
        <v>400</v>
      </c>
      <c r="CG105" s="646">
        <v>0</v>
      </c>
      <c r="CH105" s="646">
        <v>11400</v>
      </c>
    </row>
    <row r="106" spans="81:86" ht="12.75">
      <c r="CC106" s="644">
        <v>480</v>
      </c>
      <c r="CD106" s="644" t="s">
        <v>413</v>
      </c>
      <c r="CE106" s="645">
        <v>4163.64</v>
      </c>
      <c r="CF106" s="646">
        <v>2751</v>
      </c>
      <c r="CG106" s="646">
        <v>0</v>
      </c>
      <c r="CH106" s="646">
        <v>2751</v>
      </c>
    </row>
    <row r="107" spans="81:86" ht="12.75">
      <c r="CC107" s="644">
        <v>583</v>
      </c>
      <c r="CD107" s="644" t="s">
        <v>156</v>
      </c>
      <c r="CE107" s="645">
        <v>0</v>
      </c>
      <c r="CF107" s="646">
        <v>0</v>
      </c>
      <c r="CG107" s="646">
        <v>0</v>
      </c>
      <c r="CH107" s="646">
        <v>0</v>
      </c>
    </row>
    <row r="108" spans="81:86" ht="12.75">
      <c r="CC108" s="644">
        <v>492</v>
      </c>
      <c r="CD108" s="644" t="s">
        <v>157</v>
      </c>
      <c r="CE108" s="645">
        <v>0</v>
      </c>
      <c r="CF108" s="646">
        <v>0</v>
      </c>
      <c r="CG108" s="646">
        <v>0</v>
      </c>
      <c r="CH108" s="646">
        <v>0</v>
      </c>
    </row>
    <row r="109" spans="81:86" ht="12.75">
      <c r="CC109" s="644">
        <v>496</v>
      </c>
      <c r="CD109" s="644" t="s">
        <v>414</v>
      </c>
      <c r="CE109" s="645">
        <v>376951.956</v>
      </c>
      <c r="CF109" s="646">
        <v>34800</v>
      </c>
      <c r="CG109" s="646">
        <v>0</v>
      </c>
      <c r="CH109" s="646">
        <v>34800</v>
      </c>
    </row>
    <row r="110" spans="81:86" ht="12.75">
      <c r="CC110" s="644">
        <v>499</v>
      </c>
      <c r="CD110" s="644" t="s">
        <v>158</v>
      </c>
      <c r="CE110" s="645">
        <v>0</v>
      </c>
      <c r="CF110" s="646">
        <v>0</v>
      </c>
      <c r="CG110" s="646">
        <v>0</v>
      </c>
      <c r="CH110" s="646">
        <v>0</v>
      </c>
    </row>
    <row r="111" spans="81:86" ht="12.75">
      <c r="CC111" s="644">
        <v>504</v>
      </c>
      <c r="CD111" s="644" t="s">
        <v>415</v>
      </c>
      <c r="CE111" s="645">
        <v>154506.30000000002</v>
      </c>
      <c r="CF111" s="646">
        <v>29000</v>
      </c>
      <c r="CG111" s="646">
        <v>0</v>
      </c>
      <c r="CH111" s="646">
        <v>29000</v>
      </c>
    </row>
    <row r="112" spans="81:86" ht="12.75">
      <c r="CC112" s="644">
        <v>508</v>
      </c>
      <c r="CD112" s="644" t="s">
        <v>416</v>
      </c>
      <c r="CE112" s="645">
        <v>824960.1599999999</v>
      </c>
      <c r="CF112" s="646">
        <v>100300</v>
      </c>
      <c r="CG112" s="646">
        <v>116800</v>
      </c>
      <c r="CH112" s="646">
        <v>217100</v>
      </c>
    </row>
    <row r="113" spans="81:86" ht="12.75">
      <c r="CC113" s="644">
        <v>104</v>
      </c>
      <c r="CD113" s="644" t="s">
        <v>417</v>
      </c>
      <c r="CE113" s="645">
        <v>1414854.24</v>
      </c>
      <c r="CF113" s="646">
        <v>1002800</v>
      </c>
      <c r="CG113" s="646">
        <v>128199.99999999999</v>
      </c>
      <c r="CH113" s="646">
        <v>1167800</v>
      </c>
    </row>
    <row r="114" spans="81:86" ht="12.75">
      <c r="CC114" s="644">
        <v>516</v>
      </c>
      <c r="CD114" s="644" t="s">
        <v>418</v>
      </c>
      <c r="CE114" s="645">
        <v>234922.65</v>
      </c>
      <c r="CF114" s="646">
        <v>6160</v>
      </c>
      <c r="CG114" s="646">
        <v>11000</v>
      </c>
      <c r="CH114" s="646">
        <v>39910</v>
      </c>
    </row>
    <row r="115" spans="81:86" ht="12.75">
      <c r="CC115" s="644">
        <v>520</v>
      </c>
      <c r="CD115" s="644" t="s">
        <v>159</v>
      </c>
      <c r="CE115" s="645">
        <v>0</v>
      </c>
      <c r="CF115" s="646">
        <v>10</v>
      </c>
      <c r="CG115" s="646">
        <v>0</v>
      </c>
      <c r="CH115" s="646">
        <v>10</v>
      </c>
    </row>
    <row r="116" spans="81:86" ht="12.75">
      <c r="CC116" s="644">
        <v>524</v>
      </c>
      <c r="CD116" s="644" t="s">
        <v>419</v>
      </c>
      <c r="CE116" s="645">
        <v>220770</v>
      </c>
      <c r="CF116" s="646">
        <v>198200</v>
      </c>
      <c r="CG116" s="646">
        <v>12000</v>
      </c>
      <c r="CH116" s="646">
        <v>210200</v>
      </c>
    </row>
    <row r="117" spans="81:86" ht="12.75">
      <c r="CC117" s="644">
        <v>540</v>
      </c>
      <c r="CD117" s="644" t="s">
        <v>420</v>
      </c>
      <c r="CE117" s="645">
        <v>0</v>
      </c>
      <c r="CF117" s="646">
        <v>0</v>
      </c>
      <c r="CG117" s="646">
        <v>0</v>
      </c>
      <c r="CH117" s="646">
        <v>0</v>
      </c>
    </row>
    <row r="118" spans="81:86" ht="12.75">
      <c r="CC118" s="644">
        <v>558</v>
      </c>
      <c r="CD118" s="644" t="s">
        <v>421</v>
      </c>
      <c r="CE118" s="645">
        <v>297243.60000000003</v>
      </c>
      <c r="CF118" s="646">
        <v>156210</v>
      </c>
      <c r="CG118" s="646">
        <v>8310</v>
      </c>
      <c r="CH118" s="646">
        <v>164520</v>
      </c>
    </row>
    <row r="119" spans="81:86" ht="12.75">
      <c r="CC119" s="644">
        <v>562</v>
      </c>
      <c r="CD119" s="644" t="s">
        <v>422</v>
      </c>
      <c r="CE119" s="645">
        <v>191317</v>
      </c>
      <c r="CF119" s="646">
        <v>3500</v>
      </c>
      <c r="CG119" s="646">
        <v>29200</v>
      </c>
      <c r="CH119" s="646">
        <v>34050</v>
      </c>
    </row>
    <row r="120" spans="81:86" ht="12.75">
      <c r="CC120" s="644">
        <v>566</v>
      </c>
      <c r="CD120" s="644" t="s">
        <v>423</v>
      </c>
      <c r="CE120" s="645">
        <v>1062335.5</v>
      </c>
      <c r="CF120" s="646">
        <v>221000</v>
      </c>
      <c r="CG120" s="646">
        <v>65200</v>
      </c>
      <c r="CH120" s="646">
        <v>286200</v>
      </c>
    </row>
    <row r="121" spans="81:86" ht="12.75">
      <c r="CC121" s="644">
        <v>570</v>
      </c>
      <c r="CD121" s="644" t="s">
        <v>506</v>
      </c>
      <c r="CE121" s="645">
        <v>0</v>
      </c>
      <c r="CF121" s="646">
        <v>0</v>
      </c>
      <c r="CG121" s="646">
        <v>0</v>
      </c>
      <c r="CH121" s="646">
        <v>0</v>
      </c>
    </row>
    <row r="122" spans="81:86" ht="12.75">
      <c r="CC122" s="644">
        <v>275</v>
      </c>
      <c r="CD122" s="644" t="s">
        <v>507</v>
      </c>
      <c r="CE122" s="645">
        <v>2420.04</v>
      </c>
      <c r="CF122" s="646">
        <v>812</v>
      </c>
      <c r="CG122" s="646">
        <v>15</v>
      </c>
      <c r="CH122" s="646">
        <v>837</v>
      </c>
    </row>
    <row r="123" spans="81:86" ht="12.75">
      <c r="CC123" s="644">
        <v>512</v>
      </c>
      <c r="CD123" s="644" t="s">
        <v>424</v>
      </c>
      <c r="CE123" s="645">
        <v>38687.5</v>
      </c>
      <c r="CF123" s="646">
        <v>1400</v>
      </c>
      <c r="CG123" s="646">
        <v>0</v>
      </c>
      <c r="CH123" s="646">
        <v>1400</v>
      </c>
    </row>
    <row r="124" spans="81:86" ht="12.75">
      <c r="CC124" s="644">
        <v>586</v>
      </c>
      <c r="CD124" s="644" t="s">
        <v>425</v>
      </c>
      <c r="CE124" s="645">
        <v>393273.39999999997</v>
      </c>
      <c r="CF124" s="646">
        <v>55000</v>
      </c>
      <c r="CG124" s="646">
        <v>265100</v>
      </c>
      <c r="CH124" s="646">
        <v>246800</v>
      </c>
    </row>
    <row r="125" spans="81:86" ht="12.75">
      <c r="CC125" s="644">
        <v>585</v>
      </c>
      <c r="CD125" s="644" t="s">
        <v>160</v>
      </c>
      <c r="CE125" s="645">
        <v>0</v>
      </c>
      <c r="CF125" s="646">
        <v>0</v>
      </c>
      <c r="CG125" s="646">
        <v>0</v>
      </c>
      <c r="CH125" s="646">
        <v>0</v>
      </c>
    </row>
    <row r="126" spans="81:86" ht="12.75">
      <c r="CC126" s="644">
        <v>591</v>
      </c>
      <c r="CD126" s="644" t="s">
        <v>426</v>
      </c>
      <c r="CE126" s="645">
        <v>220536.96</v>
      </c>
      <c r="CF126" s="646">
        <v>136600</v>
      </c>
      <c r="CG126" s="646">
        <v>0</v>
      </c>
      <c r="CH126" s="646">
        <v>139304</v>
      </c>
    </row>
    <row r="127" spans="81:86" ht="12.75">
      <c r="CC127" s="644">
        <v>598</v>
      </c>
      <c r="CD127" s="644" t="s">
        <v>427</v>
      </c>
      <c r="CE127" s="645">
        <v>1454243.28</v>
      </c>
      <c r="CF127" s="646">
        <v>801000</v>
      </c>
      <c r="CG127" s="646">
        <v>0</v>
      </c>
      <c r="CH127" s="646">
        <v>801000</v>
      </c>
    </row>
    <row r="128" spans="81:86" ht="12.75">
      <c r="CC128" s="644">
        <v>600</v>
      </c>
      <c r="CD128" s="644" t="s">
        <v>428</v>
      </c>
      <c r="CE128" s="645">
        <v>459629.75999999995</v>
      </c>
      <c r="CF128" s="646">
        <v>117000</v>
      </c>
      <c r="CG128" s="646">
        <v>73270</v>
      </c>
      <c r="CH128" s="646">
        <v>387770</v>
      </c>
    </row>
    <row r="129" spans="81:86" ht="12.75">
      <c r="CC129" s="644">
        <v>604</v>
      </c>
      <c r="CD129" s="644" t="s">
        <v>429</v>
      </c>
      <c r="CE129" s="645">
        <v>2233712.36</v>
      </c>
      <c r="CF129" s="646">
        <v>1641000</v>
      </c>
      <c r="CG129" s="646">
        <v>128800.00000000001</v>
      </c>
      <c r="CH129" s="646">
        <v>1879800</v>
      </c>
    </row>
    <row r="130" spans="81:86" ht="12.75">
      <c r="CC130" s="644">
        <v>608</v>
      </c>
      <c r="CD130" s="644" t="s">
        <v>430</v>
      </c>
      <c r="CE130" s="645">
        <v>704400</v>
      </c>
      <c r="CF130" s="646">
        <v>479000</v>
      </c>
      <c r="CG130" s="646">
        <v>0</v>
      </c>
      <c r="CH130" s="646">
        <v>479000</v>
      </c>
    </row>
    <row r="131" spans="81:86" ht="12.75">
      <c r="CC131" s="644">
        <v>630</v>
      </c>
      <c r="CD131" s="644" t="s">
        <v>431</v>
      </c>
      <c r="CE131" s="645">
        <v>18218.98</v>
      </c>
      <c r="CF131" s="646">
        <v>7100</v>
      </c>
      <c r="CG131" s="646">
        <v>0</v>
      </c>
      <c r="CH131" s="646">
        <v>7100</v>
      </c>
    </row>
    <row r="132" spans="81:86" ht="12.75">
      <c r="CC132" s="644">
        <v>634</v>
      </c>
      <c r="CD132" s="644" t="s">
        <v>432</v>
      </c>
      <c r="CE132" s="645">
        <v>850.26</v>
      </c>
      <c r="CF132" s="646">
        <v>56</v>
      </c>
      <c r="CG132" s="646">
        <v>0</v>
      </c>
      <c r="CH132" s="646">
        <v>58</v>
      </c>
    </row>
    <row r="133" spans="81:86" ht="12.75">
      <c r="CC133" s="644">
        <v>498</v>
      </c>
      <c r="CD133" s="644" t="s">
        <v>433</v>
      </c>
      <c r="CE133" s="645">
        <v>15232.5</v>
      </c>
      <c r="CF133" s="646">
        <v>1620</v>
      </c>
      <c r="CG133" s="646">
        <v>9200</v>
      </c>
      <c r="CH133" s="646">
        <v>12270</v>
      </c>
    </row>
    <row r="134" spans="81:86" ht="12.75">
      <c r="CC134" s="644">
        <v>638</v>
      </c>
      <c r="CD134" s="644" t="s">
        <v>434</v>
      </c>
      <c r="CE134" s="645">
        <v>0</v>
      </c>
      <c r="CF134" s="646">
        <v>0</v>
      </c>
      <c r="CG134" s="646">
        <v>0</v>
      </c>
      <c r="CH134" s="646">
        <v>0</v>
      </c>
    </row>
    <row r="135" spans="81:86" ht="12.75">
      <c r="CC135" s="644">
        <v>642</v>
      </c>
      <c r="CD135" s="644" t="s">
        <v>435</v>
      </c>
      <c r="CE135" s="645">
        <v>151860.80000000002</v>
      </c>
      <c r="CF135" s="646">
        <v>42380</v>
      </c>
      <c r="CG135" s="646">
        <v>168100</v>
      </c>
      <c r="CH135" s="646">
        <v>212010</v>
      </c>
    </row>
    <row r="136" spans="81:86" ht="12.75">
      <c r="CC136" s="644">
        <v>643</v>
      </c>
      <c r="CD136" s="644" t="s">
        <v>440</v>
      </c>
      <c r="CE136" s="645">
        <v>7865195</v>
      </c>
      <c r="CF136" s="646">
        <v>4312000</v>
      </c>
      <c r="CG136" s="646">
        <v>204600</v>
      </c>
      <c r="CH136" s="646">
        <v>4525445</v>
      </c>
    </row>
    <row r="137" spans="81:86" ht="12.75">
      <c r="CC137" s="644">
        <v>646</v>
      </c>
      <c r="CD137" s="644" t="s">
        <v>441</v>
      </c>
      <c r="CE137" s="645">
        <v>31924.08</v>
      </c>
      <c r="CF137" s="646">
        <v>9500</v>
      </c>
      <c r="CG137" s="646">
        <v>3800</v>
      </c>
      <c r="CH137" s="646">
        <v>13300</v>
      </c>
    </row>
    <row r="138" spans="81:86" ht="12.75">
      <c r="CC138" s="644">
        <v>654</v>
      </c>
      <c r="CD138" s="644" t="s">
        <v>442</v>
      </c>
      <c r="CE138" s="645">
        <v>0</v>
      </c>
      <c r="CF138" s="646">
        <v>0</v>
      </c>
      <c r="CG138" s="646">
        <v>0</v>
      </c>
      <c r="CH138" s="646">
        <v>0</v>
      </c>
    </row>
    <row r="139" spans="81:86" ht="12.75">
      <c r="CC139" s="644">
        <v>659</v>
      </c>
      <c r="CD139" s="644" t="s">
        <v>443</v>
      </c>
      <c r="CE139" s="645">
        <v>371.02000000000004</v>
      </c>
      <c r="CF139" s="646">
        <v>24</v>
      </c>
      <c r="CG139" s="646">
        <v>0</v>
      </c>
      <c r="CH139" s="646">
        <v>24</v>
      </c>
    </row>
    <row r="140" spans="81:86" ht="12.75">
      <c r="CC140" s="644">
        <v>662</v>
      </c>
      <c r="CD140" s="644" t="s">
        <v>444</v>
      </c>
      <c r="CE140" s="645">
        <v>1426.62</v>
      </c>
      <c r="CF140" s="646">
        <v>300</v>
      </c>
      <c r="CG140" s="646">
        <v>0</v>
      </c>
      <c r="CH140" s="646">
        <v>300</v>
      </c>
    </row>
    <row r="141" spans="81:86" ht="12.75">
      <c r="CC141" s="644">
        <v>670</v>
      </c>
      <c r="CD141" s="644" t="s">
        <v>161</v>
      </c>
      <c r="CE141" s="645">
        <v>617.37</v>
      </c>
      <c r="CF141" s="646">
        <v>100</v>
      </c>
      <c r="CG141" s="646">
        <v>0</v>
      </c>
      <c r="CH141" s="646">
        <v>100</v>
      </c>
    </row>
    <row r="142" spans="81:86" ht="12.75">
      <c r="CC142" s="644">
        <v>882</v>
      </c>
      <c r="CD142" s="644" t="s">
        <v>445</v>
      </c>
      <c r="CE142" s="645">
        <v>8179.2</v>
      </c>
      <c r="CF142" s="646">
        <v>2180</v>
      </c>
      <c r="CG142" s="646">
        <v>0</v>
      </c>
      <c r="CH142" s="646">
        <v>0</v>
      </c>
    </row>
    <row r="143" spans="81:86" ht="12.75">
      <c r="CC143" s="644">
        <v>674</v>
      </c>
      <c r="CD143" s="644" t="s">
        <v>162</v>
      </c>
      <c r="CE143" s="645">
        <v>0</v>
      </c>
      <c r="CF143" s="646">
        <v>0</v>
      </c>
      <c r="CG143" s="646">
        <v>0</v>
      </c>
      <c r="CH143" s="646">
        <v>0</v>
      </c>
    </row>
    <row r="144" spans="81:86" ht="12.75">
      <c r="CC144" s="644">
        <v>678</v>
      </c>
      <c r="CD144" s="644" t="s">
        <v>447</v>
      </c>
      <c r="CE144" s="645">
        <v>3072</v>
      </c>
      <c r="CF144" s="646">
        <v>0</v>
      </c>
      <c r="CG144" s="646">
        <v>0</v>
      </c>
      <c r="CH144" s="646">
        <v>2180</v>
      </c>
    </row>
    <row r="145" spans="81:86" ht="12.75">
      <c r="CC145" s="644">
        <v>682</v>
      </c>
      <c r="CD145" s="644" t="s">
        <v>448</v>
      </c>
      <c r="CE145" s="645">
        <v>126831.71</v>
      </c>
      <c r="CF145" s="646">
        <v>2400</v>
      </c>
      <c r="CG145" s="646">
        <v>0</v>
      </c>
      <c r="CH145" s="646">
        <v>2400</v>
      </c>
    </row>
    <row r="146" spans="81:86" ht="12.75">
      <c r="CC146" s="644">
        <v>686</v>
      </c>
      <c r="CD146" s="644" t="s">
        <v>449</v>
      </c>
      <c r="CE146" s="645">
        <v>134943.06</v>
      </c>
      <c r="CF146" s="646">
        <v>25800</v>
      </c>
      <c r="CG146" s="646">
        <v>2170</v>
      </c>
      <c r="CH146" s="646">
        <v>38970</v>
      </c>
    </row>
    <row r="147" spans="81:86" ht="12.75">
      <c r="CC147" s="644">
        <v>891</v>
      </c>
      <c r="CD147" s="644" t="s">
        <v>163</v>
      </c>
      <c r="CE147" s="645">
        <v>49980</v>
      </c>
      <c r="CF147" s="646">
        <v>8407</v>
      </c>
      <c r="CG147" s="646">
        <v>0</v>
      </c>
      <c r="CH147" s="646">
        <v>162200</v>
      </c>
    </row>
    <row r="148" spans="81:86" ht="12.75">
      <c r="CC148" s="644">
        <v>690</v>
      </c>
      <c r="CD148" s="644" t="s">
        <v>450</v>
      </c>
      <c r="CE148" s="645">
        <v>1071.8000000000002</v>
      </c>
      <c r="CF148" s="646">
        <v>0</v>
      </c>
      <c r="CG148" s="646">
        <v>0</v>
      </c>
      <c r="CH148" s="646">
        <v>0</v>
      </c>
    </row>
    <row r="149" spans="81:86" ht="12.75">
      <c r="CC149" s="644">
        <v>694</v>
      </c>
      <c r="CD149" s="644" t="s">
        <v>451</v>
      </c>
      <c r="CE149" s="645">
        <v>182629.8</v>
      </c>
      <c r="CF149" s="646">
        <v>160000</v>
      </c>
      <c r="CG149" s="646">
        <v>0</v>
      </c>
      <c r="CH149" s="646">
        <v>160000</v>
      </c>
    </row>
    <row r="150" spans="81:86" ht="12.75">
      <c r="CC150" s="644">
        <v>702</v>
      </c>
      <c r="CD150" s="644" t="s">
        <v>452</v>
      </c>
      <c r="CE150" s="645">
        <v>1807.828</v>
      </c>
      <c r="CF150" s="646">
        <v>600</v>
      </c>
      <c r="CG150" s="646">
        <v>0</v>
      </c>
      <c r="CH150" s="646">
        <v>600</v>
      </c>
    </row>
    <row r="151" spans="81:86" ht="12.75">
      <c r="CC151" s="644">
        <v>703</v>
      </c>
      <c r="CD151" s="644" t="s">
        <v>453</v>
      </c>
      <c r="CE151" s="645">
        <v>40400.72</v>
      </c>
      <c r="CF151" s="646">
        <v>12600</v>
      </c>
      <c r="CG151" s="646">
        <v>0</v>
      </c>
      <c r="CH151" s="646">
        <v>50100</v>
      </c>
    </row>
    <row r="152" spans="81:86" ht="12.7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2.75">
      <c r="CC154" s="644">
        <v>710</v>
      </c>
      <c r="CD154" s="644" t="s">
        <v>456</v>
      </c>
      <c r="CE154" s="645">
        <v>603449.55</v>
      </c>
      <c r="CF154" s="646">
        <v>44800</v>
      </c>
      <c r="CG154" s="646">
        <v>6600</v>
      </c>
      <c r="CH154" s="646">
        <v>51350</v>
      </c>
    </row>
    <row r="155" spans="81:86" ht="12.75">
      <c r="CC155" s="644">
        <v>728</v>
      </c>
      <c r="CD155" s="644" t="s">
        <v>508</v>
      </c>
      <c r="CE155" s="645">
        <v>570515.9184000001</v>
      </c>
      <c r="CF155" s="646">
        <v>26000</v>
      </c>
      <c r="CG155" s="646">
        <v>50000</v>
      </c>
      <c r="CH155" s="646">
        <v>49500</v>
      </c>
    </row>
    <row r="156" spans="81:86" ht="12.75">
      <c r="CC156" s="644">
        <v>144</v>
      </c>
      <c r="CD156" s="644" t="s">
        <v>457</v>
      </c>
      <c r="CE156" s="645">
        <v>112324.32</v>
      </c>
      <c r="CF156" s="646">
        <v>52800</v>
      </c>
      <c r="CG156" s="646">
        <v>0</v>
      </c>
      <c r="CH156" s="646">
        <v>52800</v>
      </c>
    </row>
    <row r="157" spans="81:86" ht="12.75">
      <c r="CC157" s="644">
        <v>729</v>
      </c>
      <c r="CD157" s="644" t="s">
        <v>509</v>
      </c>
      <c r="CE157" s="645">
        <v>463526.35125</v>
      </c>
      <c r="CF157" s="646">
        <v>4000</v>
      </c>
      <c r="CG157" s="646">
        <v>99300</v>
      </c>
      <c r="CH157" s="646">
        <v>37800</v>
      </c>
    </row>
    <row r="158" spans="81:86" ht="12.75">
      <c r="CC158" s="644">
        <v>740</v>
      </c>
      <c r="CD158" s="644" t="s">
        <v>458</v>
      </c>
      <c r="CE158" s="645">
        <v>381864.42</v>
      </c>
      <c r="CF158" s="646">
        <v>99000</v>
      </c>
      <c r="CG158" s="646">
        <v>0</v>
      </c>
      <c r="CH158" s="646">
        <v>99000</v>
      </c>
    </row>
    <row r="159" spans="81:86" ht="12.75">
      <c r="CC159" s="644">
        <v>748</v>
      </c>
      <c r="CD159" s="644" t="s">
        <v>459</v>
      </c>
      <c r="CE159" s="645">
        <v>13679.68</v>
      </c>
      <c r="CF159" s="646">
        <v>2640</v>
      </c>
      <c r="CG159" s="646">
        <v>1870</v>
      </c>
      <c r="CH159" s="646">
        <v>4510</v>
      </c>
    </row>
    <row r="160" spans="81:86" ht="12.75">
      <c r="CC160" s="644">
        <v>760</v>
      </c>
      <c r="CD160" s="644" t="s">
        <v>463</v>
      </c>
      <c r="CE160" s="645">
        <v>46665.36</v>
      </c>
      <c r="CF160" s="646">
        <v>7132</v>
      </c>
      <c r="CG160" s="646">
        <v>28520</v>
      </c>
      <c r="CH160" s="646">
        <v>16802</v>
      </c>
    </row>
    <row r="161" spans="81:86" ht="12.75">
      <c r="CC161" s="644">
        <v>762</v>
      </c>
      <c r="CD161" s="644" t="s">
        <v>464</v>
      </c>
      <c r="CE161" s="645">
        <v>97693.58</v>
      </c>
      <c r="CF161" s="646">
        <v>63460</v>
      </c>
      <c r="CG161" s="646">
        <v>34190</v>
      </c>
      <c r="CH161" s="646">
        <v>21910</v>
      </c>
    </row>
    <row r="162" spans="81:86" ht="12.75">
      <c r="CC162" s="644">
        <v>764</v>
      </c>
      <c r="CD162" s="644" t="s">
        <v>465</v>
      </c>
      <c r="CE162" s="645">
        <v>832280.6399999999</v>
      </c>
      <c r="CF162" s="646">
        <v>224510</v>
      </c>
      <c r="CG162" s="646">
        <v>0</v>
      </c>
      <c r="CH162" s="646">
        <v>438610</v>
      </c>
    </row>
    <row r="163" spans="81:86" ht="12.75">
      <c r="CC163" s="644">
        <v>807</v>
      </c>
      <c r="CD163" s="644" t="s">
        <v>164</v>
      </c>
      <c r="CE163" s="645">
        <v>15914.490000000002</v>
      </c>
      <c r="CF163" s="646">
        <v>5400</v>
      </c>
      <c r="CG163" s="646">
        <v>1000</v>
      </c>
      <c r="CH163" s="646">
        <v>6400</v>
      </c>
    </row>
    <row r="164" spans="81:86" ht="12.75">
      <c r="CC164" s="644">
        <v>626</v>
      </c>
      <c r="CD164" s="644" t="s">
        <v>165</v>
      </c>
      <c r="CE164" s="645">
        <v>22305</v>
      </c>
      <c r="CF164" s="646">
        <v>8215</v>
      </c>
      <c r="CG164" s="646">
        <v>0</v>
      </c>
      <c r="CH164" s="646">
        <v>8215</v>
      </c>
    </row>
    <row r="165" spans="81:86" ht="12.75">
      <c r="CC165" s="644">
        <v>768</v>
      </c>
      <c r="CD165" s="644" t="s">
        <v>466</v>
      </c>
      <c r="CE165" s="645">
        <v>66330.72</v>
      </c>
      <c r="CF165" s="646">
        <v>11500</v>
      </c>
      <c r="CG165" s="646">
        <v>3200</v>
      </c>
      <c r="CH165" s="646">
        <v>14700</v>
      </c>
    </row>
    <row r="166" spans="81:86" ht="12.75">
      <c r="CC166" s="647">
        <v>772</v>
      </c>
      <c r="CD166" s="647" t="s">
        <v>510</v>
      </c>
      <c r="CE166" s="645">
        <v>0</v>
      </c>
      <c r="CF166" s="646">
        <v>0</v>
      </c>
      <c r="CG166" s="646">
        <v>0</v>
      </c>
      <c r="CH166" s="646">
        <v>0</v>
      </c>
    </row>
    <row r="167" spans="81:86" ht="12.75">
      <c r="CC167" s="647">
        <v>776</v>
      </c>
      <c r="CD167" s="647" t="s">
        <v>468</v>
      </c>
      <c r="CE167" s="645">
        <v>0</v>
      </c>
      <c r="CF167" s="646">
        <v>0</v>
      </c>
      <c r="CG167" s="646">
        <v>0</v>
      </c>
      <c r="CH167" s="646">
        <v>0</v>
      </c>
    </row>
    <row r="168" spans="81:86" ht="12.75">
      <c r="CC168" s="644">
        <v>780</v>
      </c>
      <c r="CD168" s="644" t="s">
        <v>469</v>
      </c>
      <c r="CE168" s="645">
        <v>11286</v>
      </c>
      <c r="CF168" s="646">
        <v>3840</v>
      </c>
      <c r="CG168" s="646">
        <v>0</v>
      </c>
      <c r="CH168" s="646">
        <v>3840</v>
      </c>
    </row>
    <row r="169" spans="81:86" ht="12.75">
      <c r="CC169" s="644">
        <v>788</v>
      </c>
      <c r="CD169" s="644" t="s">
        <v>470</v>
      </c>
      <c r="CE169" s="645">
        <v>33867.27</v>
      </c>
      <c r="CF169" s="646">
        <v>4195</v>
      </c>
      <c r="CG169" s="646">
        <v>320</v>
      </c>
      <c r="CH169" s="646">
        <v>4615</v>
      </c>
    </row>
    <row r="170" spans="81:86" ht="12.75">
      <c r="CC170" s="644">
        <v>795</v>
      </c>
      <c r="CD170" s="644" t="s">
        <v>471</v>
      </c>
      <c r="CE170" s="645">
        <v>78584.1</v>
      </c>
      <c r="CF170" s="646">
        <v>1405</v>
      </c>
      <c r="CG170" s="646">
        <v>80200</v>
      </c>
      <c r="CH170" s="646">
        <v>24765</v>
      </c>
    </row>
    <row r="171" spans="81:86" ht="12.75">
      <c r="CC171" s="644">
        <v>798</v>
      </c>
      <c r="CD171" s="644" t="s">
        <v>166</v>
      </c>
      <c r="CE171" s="645">
        <v>0</v>
      </c>
      <c r="CF171" s="646">
        <v>0</v>
      </c>
      <c r="CG171" s="646">
        <v>0</v>
      </c>
      <c r="CH171" s="646">
        <v>0</v>
      </c>
    </row>
    <row r="172" spans="81:86" ht="12.75">
      <c r="CC172" s="644">
        <v>800</v>
      </c>
      <c r="CD172" s="644" t="s">
        <v>472</v>
      </c>
      <c r="CE172" s="645">
        <v>285029</v>
      </c>
      <c r="CF172" s="646">
        <v>39000</v>
      </c>
      <c r="CG172" s="646">
        <v>21100</v>
      </c>
      <c r="CH172" s="646">
        <v>60100</v>
      </c>
    </row>
    <row r="173" spans="81:86" ht="12.75">
      <c r="CC173" s="644">
        <v>804</v>
      </c>
      <c r="CD173" s="644" t="s">
        <v>473</v>
      </c>
      <c r="CE173" s="645">
        <v>341005.75</v>
      </c>
      <c r="CF173" s="646">
        <v>55100</v>
      </c>
      <c r="CG173" s="646">
        <v>36130</v>
      </c>
      <c r="CH173" s="646">
        <v>175280</v>
      </c>
    </row>
    <row r="174" spans="81:86" ht="12.75">
      <c r="CC174" s="644">
        <v>784</v>
      </c>
      <c r="CD174" s="644" t="s">
        <v>474</v>
      </c>
      <c r="CE174" s="645">
        <v>5553.76653</v>
      </c>
      <c r="CF174" s="646">
        <v>150</v>
      </c>
      <c r="CG174" s="646">
        <v>0</v>
      </c>
      <c r="CH174" s="646">
        <v>150</v>
      </c>
    </row>
    <row r="175" spans="81:86" ht="12.7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2.75">
      <c r="CC177" s="644">
        <v>860</v>
      </c>
      <c r="CD177" s="644" t="s">
        <v>477</v>
      </c>
      <c r="CE177" s="645">
        <v>92478.34400000001</v>
      </c>
      <c r="CF177" s="646">
        <v>16340</v>
      </c>
      <c r="CG177" s="646">
        <v>102200</v>
      </c>
      <c r="CH177" s="646">
        <v>48870</v>
      </c>
    </row>
    <row r="178" spans="81:86" ht="12.7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2.75">
      <c r="CC180" s="644">
        <v>704</v>
      </c>
      <c r="CD180" s="644" t="s">
        <v>478</v>
      </c>
      <c r="CE180" s="645">
        <v>603169.8300000001</v>
      </c>
      <c r="CF180" s="646">
        <v>359420</v>
      </c>
      <c r="CG180" s="646">
        <v>524700</v>
      </c>
      <c r="CH180" s="646">
        <v>884120</v>
      </c>
    </row>
    <row r="181" spans="81:86" ht="12.75">
      <c r="CC181" s="644">
        <v>887</v>
      </c>
      <c r="CD181" s="644" t="s">
        <v>479</v>
      </c>
      <c r="CE181" s="645">
        <v>88170.99</v>
      </c>
      <c r="CF181" s="646">
        <v>2100</v>
      </c>
      <c r="CG181" s="646">
        <v>0</v>
      </c>
      <c r="CH181" s="646">
        <v>2100</v>
      </c>
    </row>
    <row r="182" spans="81:86" ht="12.75">
      <c r="CC182" s="644">
        <v>894</v>
      </c>
      <c r="CD182" s="644" t="s">
        <v>480</v>
      </c>
      <c r="CE182" s="645">
        <v>767662.2</v>
      </c>
      <c r="CF182" s="646">
        <v>80200</v>
      </c>
      <c r="CG182" s="646">
        <v>24600</v>
      </c>
      <c r="CH182" s="646">
        <v>104800</v>
      </c>
    </row>
    <row r="183" spans="81:86" ht="12.75">
      <c r="CC183" s="644">
        <v>716</v>
      </c>
      <c r="CD183" s="644" t="s">
        <v>481</v>
      </c>
      <c r="CE183" s="645">
        <v>256729.31999999998</v>
      </c>
      <c r="CF183" s="646">
        <v>12260</v>
      </c>
      <c r="CG183" s="646">
        <v>0</v>
      </c>
      <c r="CH183" s="646">
        <v>20000</v>
      </c>
    </row>
    <row r="207" ht="22.5" customHeight="1"/>
  </sheetData>
  <sheetProtection sheet="1" formatCells="0" formatColumns="0" formatRows="0" insertColumns="0" insertRows="0" insertHyperlink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110" zoomScaleNormal="110" zoomScaleSheetLayoutView="40" zoomScalePageLayoutView="70" workbookViewId="0" topLeftCell="C1">
      <selection activeCell="D3" sqref="D3"/>
    </sheetView>
  </sheetViews>
  <sheetFormatPr defaultColWidth="12" defaultRowHeight="12.75"/>
  <cols>
    <col min="1" max="1" width="4.33203125" style="192" hidden="1" customWidth="1"/>
    <col min="2" max="2" width="6.1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8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242</v>
      </c>
      <c r="C3" s="299" t="s">
        <v>296</v>
      </c>
      <c r="D3" s="522" t="s">
        <v>370</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68" t="s">
        <v>86</v>
      </c>
      <c r="D5" s="868"/>
      <c r="E5" s="869"/>
      <c r="F5" s="869"/>
      <c r="G5" s="869"/>
      <c r="H5" s="870"/>
      <c r="I5" s="870"/>
      <c r="J5" s="870"/>
      <c r="K5" s="870"/>
      <c r="L5" s="870"/>
      <c r="M5" s="870"/>
      <c r="N5" s="870"/>
      <c r="O5" s="870"/>
      <c r="P5" s="870"/>
      <c r="Q5" s="870"/>
      <c r="R5" s="870"/>
      <c r="S5" s="870"/>
      <c r="T5" s="870"/>
      <c r="U5" s="870"/>
      <c r="V5" s="870"/>
      <c r="W5" s="869"/>
      <c r="X5" s="870"/>
      <c r="Y5" s="869"/>
      <c r="Z5" s="870"/>
      <c r="AA5" s="869"/>
      <c r="AB5" s="870"/>
      <c r="AC5" s="869"/>
      <c r="AD5" s="870"/>
      <c r="AE5" s="869"/>
      <c r="AF5" s="870"/>
      <c r="AG5" s="869"/>
      <c r="AH5" s="870"/>
      <c r="AI5" s="870"/>
      <c r="AJ5" s="870"/>
      <c r="AK5" s="869"/>
      <c r="AL5" s="870"/>
      <c r="AM5" s="869"/>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c r="G8" s="528"/>
      <c r="H8" s="515"/>
      <c r="I8" s="528"/>
      <c r="J8" s="515"/>
      <c r="K8" s="528"/>
      <c r="L8" s="515"/>
      <c r="M8" s="528"/>
      <c r="N8" s="515"/>
      <c r="O8" s="515"/>
      <c r="P8" s="515"/>
      <c r="Q8" s="523"/>
      <c r="R8" s="515"/>
      <c r="S8" s="523"/>
      <c r="T8" s="515"/>
      <c r="U8" s="523"/>
      <c r="V8" s="515"/>
      <c r="W8" s="523"/>
      <c r="X8" s="515"/>
      <c r="Y8" s="523"/>
      <c r="Z8" s="515"/>
      <c r="AA8" s="523"/>
      <c r="AB8" s="515"/>
      <c r="AC8" s="523"/>
      <c r="AD8" s="515"/>
      <c r="AE8" s="523"/>
      <c r="AF8" s="738">
        <v>131.20770586805173</v>
      </c>
      <c r="AG8" s="739"/>
      <c r="AH8" s="738">
        <v>127.7890855779883</v>
      </c>
      <c r="AI8" s="739"/>
      <c r="AJ8" s="738">
        <v>136.14339937775773</v>
      </c>
      <c r="AK8" s="739"/>
      <c r="AL8" s="738">
        <v>137.87441837114883</v>
      </c>
      <c r="AM8" s="739"/>
      <c r="AN8" s="738">
        <v>141.6298995749957</v>
      </c>
      <c r="AO8" s="739"/>
      <c r="AP8" s="738">
        <v>140.1171343291368</v>
      </c>
      <c r="AQ8" s="739"/>
      <c r="AR8" s="738">
        <v>152.49992686732637</v>
      </c>
      <c r="AS8" s="739"/>
      <c r="AT8" s="738">
        <v>157.41664214956808</v>
      </c>
      <c r="AU8" s="739"/>
      <c r="AV8" s="738">
        <v>155.9043841890162</v>
      </c>
      <c r="AW8" s="528"/>
      <c r="AX8" s="581"/>
      <c r="AY8" s="330"/>
      <c r="AZ8" s="693">
        <v>1</v>
      </c>
      <c r="BA8" s="694" t="s">
        <v>118</v>
      </c>
      <c r="BB8" s="693" t="s">
        <v>78</v>
      </c>
      <c r="BC8" s="79" t="s">
        <v>82</v>
      </c>
      <c r="BD8" s="543"/>
      <c r="BE8" s="79" t="str">
        <f>IF(OR(ISBLANK(F8),ISBLANK(H8)),"N/A",IF(ABS((H8-F8)/F8)&gt;0.25,"&gt; 25%","ok"))</f>
        <v>N/A</v>
      </c>
      <c r="BF8" s="543"/>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ok</v>
      </c>
      <c r="CF8" s="79"/>
      <c r="CG8" s="79" t="str">
        <f aca="true" t="shared" si="12" ref="CG8:CG14">IF(OR(ISBLANK(AH8),ISBLANK(AJ8)),"N/A",IF(ABS((AJ8-AH8)/AH8)&gt;0.25,"&gt; 25%","ok"))</f>
        <v>ok</v>
      </c>
      <c r="CH8" s="79"/>
      <c r="CI8" s="79" t="str">
        <f>IF(OR(ISBLANK(AJ8),ISBLANK(AL8)),"N/A",IF(ABS((AL8-AJ8)/AJ8)&gt;0.25,"&gt; 25%","ok"))</f>
        <v>ok</v>
      </c>
      <c r="CJ8" s="79"/>
      <c r="CK8" s="79" t="str">
        <f>IF(OR(ISBLANK(AL8),ISBLANK(AN8)),"N/A",IF(ABS((AN8-AL8)/AL8)&gt;0.25,"&gt; 25%","ok"))</f>
        <v>ok</v>
      </c>
      <c r="CL8" s="79"/>
      <c r="CM8" s="79" t="str">
        <f>IF(OR(ISBLANK(AN8),ISBLANK(AP8)),"N/A",IF(ABS((AP8-AN8)/AN8)&gt;0.25,"&gt; 25%","ok"))</f>
        <v>ok</v>
      </c>
      <c r="CN8" s="79"/>
      <c r="CO8" s="79" t="str">
        <f>IF(OR(ISBLANK(AP8),ISBLANK(AR8)),"N/A",IF(ABS((AR8-AP8)/AP8)&gt;0.25,"&gt; 25%","ok"))</f>
        <v>ok</v>
      </c>
      <c r="CP8" s="79"/>
      <c r="CQ8" s="79" t="str">
        <f>IF(OR(ISBLANK(AR8),ISBLANK(AT8)),"N/A",IF(ABS((AT8-AR8)/AR8)&gt;0.25,"&gt; 25%","ok"))</f>
        <v>ok</v>
      </c>
      <c r="CR8" s="79"/>
      <c r="CS8" s="79" t="str">
        <f>IF(OR(ISBLANK(AT8),ISBLANK(AV8)),"N/A",IF(ABS((AV8-AT8)/AT8)&gt;0.25,"&gt; 25%","ok"))</f>
        <v>ok</v>
      </c>
      <c r="CT8" s="79"/>
    </row>
    <row r="9" spans="1:98" s="329" customFormat="1" ht="15" customHeight="1">
      <c r="A9" s="207"/>
      <c r="B9" s="327">
        <v>25</v>
      </c>
      <c r="C9" s="226">
        <v>2</v>
      </c>
      <c r="D9" s="328" t="s">
        <v>119</v>
      </c>
      <c r="E9" s="226" t="s">
        <v>298</v>
      </c>
      <c r="F9" s="515"/>
      <c r="G9" s="528"/>
      <c r="H9" s="515"/>
      <c r="I9" s="528"/>
      <c r="J9" s="515"/>
      <c r="K9" s="528"/>
      <c r="L9" s="515"/>
      <c r="M9" s="528"/>
      <c r="N9" s="515"/>
      <c r="O9" s="515"/>
      <c r="P9" s="515"/>
      <c r="Q9" s="523"/>
      <c r="R9" s="515"/>
      <c r="S9" s="523"/>
      <c r="T9" s="515"/>
      <c r="U9" s="523"/>
      <c r="V9" s="515"/>
      <c r="W9" s="523"/>
      <c r="X9" s="515"/>
      <c r="Y9" s="523"/>
      <c r="Z9" s="515"/>
      <c r="AA9" s="523"/>
      <c r="AB9" s="515"/>
      <c r="AC9" s="523"/>
      <c r="AD9" s="515"/>
      <c r="AE9" s="523"/>
      <c r="AF9" s="738">
        <v>4.16717869377832</v>
      </c>
      <c r="AG9" s="739"/>
      <c r="AH9" s="738">
        <v>3.522</v>
      </c>
      <c r="AI9" s="739"/>
      <c r="AJ9" s="738">
        <v>3.801</v>
      </c>
      <c r="AK9" s="739"/>
      <c r="AL9" s="738">
        <v>3.497</v>
      </c>
      <c r="AM9" s="739"/>
      <c r="AN9" s="738">
        <v>3.575</v>
      </c>
      <c r="AO9" s="739"/>
      <c r="AP9" s="738">
        <v>3.77608811822392</v>
      </c>
      <c r="AQ9" s="739"/>
      <c r="AR9" s="738">
        <v>3.96149587077443</v>
      </c>
      <c r="AS9" s="739"/>
      <c r="AT9" s="738">
        <v>3.96962980708083</v>
      </c>
      <c r="AU9" s="739"/>
      <c r="AV9" s="738">
        <v>4.0891492951922</v>
      </c>
      <c r="AW9" s="528"/>
      <c r="AX9" s="581"/>
      <c r="AY9" s="331"/>
      <c r="AZ9" s="695">
        <v>2</v>
      </c>
      <c r="BA9" s="694" t="s">
        <v>119</v>
      </c>
      <c r="BB9" s="695" t="s">
        <v>78</v>
      </c>
      <c r="BC9" s="79" t="s">
        <v>82</v>
      </c>
      <c r="BD9" s="543"/>
      <c r="BE9" s="79" t="str">
        <f>IF(OR(ISBLANK(F9),ISBLANK(H9)),"N/A",IF(ABS((H9-F9)/F9)&gt;0.25,"&gt; 25%","ok"))</f>
        <v>N/A</v>
      </c>
      <c r="BF9" s="543"/>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ok</v>
      </c>
      <c r="CF9" s="79"/>
      <c r="CG9" s="79" t="str">
        <f t="shared" si="12"/>
        <v>ok</v>
      </c>
      <c r="CH9" s="79"/>
      <c r="CI9" s="79" t="str">
        <f>IF(OR(ISBLANK(AJ9),ISBLANK(AL9)),"N/A",IF(ABS((AL9-AJ9)/AJ9)&gt;0.25,"&gt; 25%","ok"))</f>
        <v>ok</v>
      </c>
      <c r="CJ9" s="79"/>
      <c r="CK9" s="79" t="str">
        <f>IF(OR(ISBLANK(AL9),ISBLANK(AN9)),"N/A",IF(ABS((AN9-AL9)/AL9)&gt;0.25,"&gt; 25%","ok"))</f>
        <v>ok</v>
      </c>
      <c r="CL9" s="79"/>
      <c r="CM9" s="79" t="str">
        <f>IF(OR(ISBLANK(AN9),ISBLANK(AP9)),"N/A",IF(ABS((AP9-AN9)/AN9)&gt;0.25,"&gt; 25%","ok"))</f>
        <v>ok</v>
      </c>
      <c r="CN9" s="79"/>
      <c r="CO9" s="79" t="str">
        <f>IF(OR(ISBLANK(AP9),ISBLANK(AR9)),"N/A",IF(ABS((AR9-AP9)/AP9)&gt;0.25,"&gt; 25%","ok"))</f>
        <v>ok</v>
      </c>
      <c r="CP9" s="79"/>
      <c r="CQ9" s="79" t="str">
        <f>IF(OR(ISBLANK(AR9),ISBLANK(AT9)),"N/A",IF(ABS((AT9-AR9)/AR9)&gt;0.25,"&gt; 25%","ok"))</f>
        <v>ok</v>
      </c>
      <c r="CR9" s="79"/>
      <c r="CS9" s="79" t="str">
        <f>IF(OR(ISBLANK(AT9),ISBLANK(AV9)),"N/A",IF(ABS((AV9-AT9)/AT9)&gt;0.25,"&gt; 25%","ok"))</f>
        <v>ok</v>
      </c>
      <c r="CT9" s="79"/>
    </row>
    <row r="10" spans="1:98" s="335" customFormat="1" ht="15" customHeight="1">
      <c r="A10" s="332" t="s">
        <v>65</v>
      </c>
      <c r="B10" s="624">
        <v>5001</v>
      </c>
      <c r="C10" s="625">
        <v>3</v>
      </c>
      <c r="D10" s="626" t="s">
        <v>617</v>
      </c>
      <c r="E10" s="218" t="s">
        <v>298</v>
      </c>
      <c r="F10" s="538"/>
      <c r="G10" s="524"/>
      <c r="H10" s="538"/>
      <c r="I10" s="524"/>
      <c r="J10" s="538"/>
      <c r="K10" s="524"/>
      <c r="L10" s="538"/>
      <c r="M10" s="524"/>
      <c r="N10" s="539"/>
      <c r="O10" s="633"/>
      <c r="P10" s="539"/>
      <c r="Q10" s="528"/>
      <c r="R10" s="539"/>
      <c r="S10" s="528"/>
      <c r="T10" s="539"/>
      <c r="U10" s="528"/>
      <c r="V10" s="539"/>
      <c r="W10" s="528"/>
      <c r="X10" s="539"/>
      <c r="Y10" s="528"/>
      <c r="Z10" s="539"/>
      <c r="AA10" s="528"/>
      <c r="AB10" s="539"/>
      <c r="AC10" s="528"/>
      <c r="AD10" s="539"/>
      <c r="AE10" s="528"/>
      <c r="AF10" s="740">
        <f>AF8+AF9</f>
        <v>135.37488456183004</v>
      </c>
      <c r="AG10" s="741"/>
      <c r="AH10" s="740">
        <f>AH8+AH9</f>
        <v>131.3110855779883</v>
      </c>
      <c r="AI10" s="741"/>
      <c r="AJ10" s="740">
        <f>AJ8+AJ9</f>
        <v>139.94439937775772</v>
      </c>
      <c r="AK10" s="741"/>
      <c r="AL10" s="740">
        <f>AL8+AL9</f>
        <v>141.37141837114882</v>
      </c>
      <c r="AM10" s="741"/>
      <c r="AN10" s="740">
        <f>AN8+AN9</f>
        <v>145.2048995749957</v>
      </c>
      <c r="AO10" s="741"/>
      <c r="AP10" s="740">
        <f>AP8+AP9</f>
        <v>143.89322244736073</v>
      </c>
      <c r="AQ10" s="741"/>
      <c r="AR10" s="740">
        <f>AR8+AR9</f>
        <v>156.4614227381008</v>
      </c>
      <c r="AS10" s="741"/>
      <c r="AT10" s="740">
        <f>AT8+AT9</f>
        <v>161.3862719566489</v>
      </c>
      <c r="AU10" s="741"/>
      <c r="AV10" s="740">
        <f>AV8+AV9</f>
        <v>159.9935334842084</v>
      </c>
      <c r="AW10" s="524"/>
      <c r="AX10" s="582"/>
      <c r="AY10" s="336"/>
      <c r="AZ10" s="696">
        <v>3</v>
      </c>
      <c r="BA10" s="697" t="s">
        <v>120</v>
      </c>
      <c r="BB10" s="695" t="s">
        <v>78</v>
      </c>
      <c r="BC10" s="103" t="s">
        <v>82</v>
      </c>
      <c r="BD10" s="547"/>
      <c r="BE10" s="79" t="str">
        <f>IF(OR(ISBLANK(F10),ISBLANK(H10)),"N/A",IF(ABS((H10-F10)/F10)&gt;0.25,"&gt; 25%","ok"))</f>
        <v>N/A</v>
      </c>
      <c r="BF10" s="543"/>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ok</v>
      </c>
      <c r="CF10" s="79"/>
      <c r="CG10" s="79" t="str">
        <f t="shared" si="12"/>
        <v>ok</v>
      </c>
      <c r="CH10" s="79"/>
      <c r="CI10" s="79" t="str">
        <f>IF(OR(ISBLANK(AJ10),ISBLANK(AL10)),"N/A",IF(ABS((AL10-AJ10)/AJ10)&gt;0.25,"&gt; 25%","ok"))</f>
        <v>ok</v>
      </c>
      <c r="CJ10" s="79"/>
      <c r="CK10" s="79" t="str">
        <f>IF(OR(ISBLANK(AL10),ISBLANK(AN10)),"N/A",IF(ABS((AN10-AL10)/AL10)&gt;0.25,"&gt; 25%","ok"))</f>
        <v>ok</v>
      </c>
      <c r="CL10" s="79"/>
      <c r="CM10" s="79" t="str">
        <f>IF(OR(ISBLANK(AN10),ISBLANK(AP10)),"N/A",IF(ABS((AP10-AN10)/AN10)&gt;0.25,"&gt; 25%","ok"))</f>
        <v>ok</v>
      </c>
      <c r="CN10" s="79"/>
      <c r="CO10" s="79" t="str">
        <f>IF(OR(ISBLANK(AP10),ISBLANK(AR10)),"N/A",IF(ABS((AR10-AP10)/AP10)&gt;0.25,"&gt; 25%","ok"))</f>
        <v>ok</v>
      </c>
      <c r="CP10" s="79"/>
      <c r="CQ10" s="79" t="str">
        <f>IF(OR(ISBLANK(AR10),ISBLANK(AT10)),"N/A",IF(ABS((AT10-AR10)/AR10)&gt;0.25,"&gt; 25%","ok"))</f>
        <v>ok</v>
      </c>
      <c r="CR10" s="79"/>
      <c r="CS10" s="79" t="str">
        <f>IF(OR(ISBLANK(AT10),ISBLANK(AV10)),"N/A",IF(ABS((AV10-AT10)/AT10)&gt;0.25,"&gt; 25%","ok"))</f>
        <v>ok</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743">
        <v>4.63085552012852</v>
      </c>
      <c r="AG11" s="739"/>
      <c r="AH11" s="743">
        <v>4.558347593235667</v>
      </c>
      <c r="AI11" s="739"/>
      <c r="AJ11" s="743">
        <v>4.830609999999986</v>
      </c>
      <c r="AK11" s="739"/>
      <c r="AL11" s="743">
        <v>3.036327999999994</v>
      </c>
      <c r="AM11" s="739"/>
      <c r="AN11" s="743">
        <v>4.070456099999981</v>
      </c>
      <c r="AO11" s="739"/>
      <c r="AP11" s="743">
        <v>4.935049999999988</v>
      </c>
      <c r="AQ11" s="739"/>
      <c r="AR11" s="743">
        <v>5.323989000000001</v>
      </c>
      <c r="AS11" s="739"/>
      <c r="AT11" s="743">
        <v>6.773081700000009</v>
      </c>
      <c r="AU11" s="739"/>
      <c r="AV11" s="743">
        <v>6.1459768999999795</v>
      </c>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ok</v>
      </c>
      <c r="CF11" s="79"/>
      <c r="CG11" s="79" t="str">
        <f t="shared" si="12"/>
        <v>ok</v>
      </c>
      <c r="CH11" s="79"/>
      <c r="CI11" s="79" t="str">
        <f>IF(OR(ISBLANK(AJ11),ISBLANK(AL11)),"N/A",IF(ABS((AL11-AJ11)/AJ11)&gt;0.25,"&gt; 25%","ok"))</f>
        <v>&gt; 25%</v>
      </c>
      <c r="CJ11" s="79"/>
      <c r="CK11" s="79" t="str">
        <f>IF(OR(ISBLANK(AL11),ISBLANK(AN11)),"N/A",IF(ABS((AN11-AL11)/AL11)&gt;0.25,"&gt; 25%","ok"))</f>
        <v>&gt; 25%</v>
      </c>
      <c r="CL11" s="79"/>
      <c r="CM11" s="79" t="str">
        <f>IF(OR(ISBLANK(AN11),ISBLANK(AP11)),"N/A",IF(ABS((AP11-AN11)/AN11)&gt;0.25,"&gt; 25%","ok"))</f>
        <v>ok</v>
      </c>
      <c r="CN11" s="79"/>
      <c r="CO11" s="79" t="str">
        <f>IF(OR(ISBLANK(AP11),ISBLANK(AR11)),"N/A",IF(ABS((AR11-AP11)/AP11)&gt;0.25,"&gt; 25%","ok"))</f>
        <v>ok</v>
      </c>
      <c r="CP11" s="79"/>
      <c r="CQ11" s="79" t="str">
        <f>IF(OR(ISBLANK(AR11),ISBLANK(AT11)),"N/A",IF(ABS((AT11-AR11)/AR11)&gt;0.25,"&gt; 25%","ok"))</f>
        <v>&gt; 25%</v>
      </c>
      <c r="CR11" s="79"/>
      <c r="CS11" s="79" t="str">
        <f>IF(OR(ISBLANK(AT11),ISBLANK(AV11)),"N/A",IF(ABS((AV11-AT11)/AT11)&gt;0.25,"&gt; 25%","ok"))</f>
        <v>ok</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743">
        <f>AF10-AF11</f>
        <v>130.74402904170154</v>
      </c>
      <c r="AG12" s="523"/>
      <c r="AH12" s="743">
        <f>AH10-AH11</f>
        <v>126.75273798475264</v>
      </c>
      <c r="AI12" s="523"/>
      <c r="AJ12" s="743">
        <f>AJ10-AJ11</f>
        <v>135.11378937775774</v>
      </c>
      <c r="AK12" s="523"/>
      <c r="AL12" s="743">
        <f>AL10-AL11</f>
        <v>138.33509037114882</v>
      </c>
      <c r="AM12" s="523"/>
      <c r="AN12" s="743">
        <f>AN10-AN11</f>
        <v>141.13444347499572</v>
      </c>
      <c r="AO12" s="523"/>
      <c r="AP12" s="743">
        <f>AP10-AP11</f>
        <v>138.95817244736074</v>
      </c>
      <c r="AQ12" s="523"/>
      <c r="AR12" s="743">
        <f>AR10-AR11</f>
        <v>151.13743373810078</v>
      </c>
      <c r="AS12" s="523"/>
      <c r="AT12" s="743">
        <f>AT10-AT11</f>
        <v>154.6131902566489</v>
      </c>
      <c r="AU12" s="523"/>
      <c r="AV12" s="743">
        <f>AV10-AV11</f>
        <v>153.8475565842084</v>
      </c>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ok</v>
      </c>
      <c r="CF12" s="79"/>
      <c r="CG12" s="79" t="str">
        <f t="shared" si="12"/>
        <v>ok</v>
      </c>
      <c r="CH12" s="79"/>
      <c r="CI12" s="79" t="str">
        <f>IF(OR(ISBLANK(AJ12),ISBLANK(AL12)),"N/A",IF(ABS((AL12-AJ12)/AJ12)&gt;0.25,"&gt; 25%","ok"))</f>
        <v>ok</v>
      </c>
      <c r="CJ12" s="79"/>
      <c r="CK12" s="79" t="str">
        <f>IF(OR(ISBLANK(AL12),ISBLANK(AN12)),"N/A",IF(ABS((AN12-AL12)/AL12)&gt;0.25,"&gt; 25%","ok"))</f>
        <v>ok</v>
      </c>
      <c r="CL12" s="79"/>
      <c r="CM12" s="79" t="str">
        <f>IF(OR(ISBLANK(AN12),ISBLANK(AP12)),"N/A",IF(ABS((AP12-AN12)/AN12)&gt;0.25,"&gt; 25%","ok"))</f>
        <v>ok</v>
      </c>
      <c r="CN12" s="79"/>
      <c r="CO12" s="79" t="str">
        <f>IF(OR(ISBLANK(AP12),ISBLANK(AR12)),"N/A",IF(ABS((AR12-AP12)/AP12)&gt;0.25,"&gt; 25%","ok"))</f>
        <v>ok</v>
      </c>
      <c r="CP12" s="79"/>
      <c r="CQ12" s="79" t="str">
        <f>IF(OR(ISBLANK(AR12),ISBLANK(AT12)),"N/A",IF(ABS((AT12-AR12)/AR12)&gt;0.25,"&gt; 25%","ok"))</f>
        <v>ok</v>
      </c>
      <c r="CR12" s="79"/>
      <c r="CS12" s="79" t="str">
        <f>IF(OR(ISBLANK(AT12),ISBLANK(AV12)),"N/A",IF(ABS((AV12-AT12)/AT12)&gt;0.25,"&gt; 25%","ok"))</f>
        <v>ok</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c r="G14" s="528"/>
      <c r="H14" s="515"/>
      <c r="I14" s="528"/>
      <c r="J14" s="515"/>
      <c r="K14" s="528"/>
      <c r="L14" s="515"/>
      <c r="M14" s="528"/>
      <c r="N14" s="515"/>
      <c r="O14" s="528"/>
      <c r="P14" s="515"/>
      <c r="Q14" s="528"/>
      <c r="R14" s="515"/>
      <c r="S14" s="528"/>
      <c r="T14" s="515"/>
      <c r="U14" s="528"/>
      <c r="V14" s="515"/>
      <c r="W14" s="528"/>
      <c r="X14" s="515"/>
      <c r="Y14" s="528"/>
      <c r="Z14" s="515"/>
      <c r="AA14" s="528"/>
      <c r="AB14" s="515"/>
      <c r="AC14" s="528"/>
      <c r="AD14" s="515"/>
      <c r="AE14" s="528"/>
      <c r="AF14" s="744">
        <v>118.3896</v>
      </c>
      <c r="AG14" s="744"/>
      <c r="AH14" s="744">
        <v>116.535907</v>
      </c>
      <c r="AI14" s="744"/>
      <c r="AJ14" s="744">
        <v>123.4964</v>
      </c>
      <c r="AK14" s="744"/>
      <c r="AL14" s="744">
        <v>125.72600999999999</v>
      </c>
      <c r="AM14" s="744"/>
      <c r="AN14" s="744">
        <v>128.619669</v>
      </c>
      <c r="AO14" s="744"/>
      <c r="AP14" s="744">
        <v>126.498377</v>
      </c>
      <c r="AQ14" s="744"/>
      <c r="AR14" s="744">
        <v>138.32937659999993</v>
      </c>
      <c r="AS14" s="744"/>
      <c r="AT14" s="744">
        <v>143.2713477</v>
      </c>
      <c r="AU14" s="744"/>
      <c r="AV14" s="744">
        <v>141.3601949</v>
      </c>
      <c r="AW14" s="528"/>
      <c r="AX14" s="446"/>
      <c r="AY14" s="195"/>
      <c r="AZ14" s="695">
        <v>6</v>
      </c>
      <c r="BA14" s="699" t="s">
        <v>127</v>
      </c>
      <c r="BB14" s="695" t="s">
        <v>78</v>
      </c>
      <c r="BC14" s="79" t="s">
        <v>82</v>
      </c>
      <c r="BD14" s="543"/>
      <c r="BE14" s="79" t="str">
        <f aca="true" t="shared" si="14" ref="BE14:BE40">IF(OR(ISBLANK(F14),ISBLANK(H14)),"N/A",IF(ABS((H14-F14)/F14)&gt;0.25,"&gt; 25%","ok"))</f>
        <v>N/A</v>
      </c>
      <c r="BF14" s="543"/>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ok</v>
      </c>
      <c r="CF14" s="79"/>
      <c r="CG14" s="79" t="str">
        <f t="shared" si="12"/>
        <v>ok</v>
      </c>
      <c r="CH14" s="79"/>
      <c r="CI14" s="79" t="str">
        <f aca="true" t="shared" si="15" ref="CI14:CI40">IF(OR(ISBLANK(AJ14),ISBLANK(AL14)),"N/A",IF(ABS((AL14-AJ14)/AJ14)&gt;0.25,"&gt; 25%","ok"))</f>
        <v>ok</v>
      </c>
      <c r="CJ14" s="79"/>
      <c r="CK14" s="79" t="str">
        <f aca="true" t="shared" si="16" ref="CK14:CK40">IF(OR(ISBLANK(AL14),ISBLANK(AN14)),"N/A",IF(ABS((AN14-AL14)/AL14)&gt;0.25,"&gt; 25%","ok"))</f>
        <v>ok</v>
      </c>
      <c r="CL14" s="79"/>
      <c r="CM14" s="79" t="str">
        <f aca="true" t="shared" si="17" ref="CM14:CM40">IF(OR(ISBLANK(AN14),ISBLANK(AP14)),"N/A",IF(ABS((AP14-AN14)/AN14)&gt;0.25,"&gt; 25%","ok"))</f>
        <v>ok</v>
      </c>
      <c r="CN14" s="79"/>
      <c r="CO14" s="79" t="str">
        <f aca="true" t="shared" si="18" ref="CO14:CO40">IF(OR(ISBLANK(AP14),ISBLANK(AR14)),"N/A",IF(ABS((AR14-AP14)/AP14)&gt;0.25,"&gt; 25%","ok"))</f>
        <v>ok</v>
      </c>
      <c r="CP14" s="79"/>
      <c r="CQ14" s="79" t="str">
        <f aca="true" t="shared" si="19" ref="CQ14:CQ40">IF(OR(ISBLANK(AR14),ISBLANK(AT14)),"N/A",IF(ABS((AT14-AR14)/AR14)&gt;0.25,"&gt; 25%","ok"))</f>
        <v>ok</v>
      </c>
      <c r="CR14" s="79"/>
      <c r="CS14" s="79" t="str">
        <f aca="true" t="shared" si="20" ref="CS14:CS40">IF(OR(ISBLANK(AT14),ISBLANK(AV14)),"N/A",IF(ABS((AV14-AT14)/AT14)&gt;0.25,"&gt; 25%","ok"))</f>
        <v>ok</v>
      </c>
      <c r="CT14" s="79"/>
    </row>
    <row r="15" spans="1:98" s="338" customFormat="1" ht="15" customHeight="1">
      <c r="A15" s="192"/>
      <c r="B15" s="611">
        <v>256</v>
      </c>
      <c r="C15" s="627">
        <v>7</v>
      </c>
      <c r="D15" s="339" t="s">
        <v>382</v>
      </c>
      <c r="E15" s="226" t="s">
        <v>298</v>
      </c>
      <c r="F15" s="515"/>
      <c r="G15" s="528"/>
      <c r="H15" s="515"/>
      <c r="I15" s="528"/>
      <c r="J15" s="515"/>
      <c r="K15" s="528"/>
      <c r="L15" s="515"/>
      <c r="M15" s="528"/>
      <c r="N15" s="515"/>
      <c r="O15" s="528"/>
      <c r="P15" s="515"/>
      <c r="Q15" s="528"/>
      <c r="R15" s="515"/>
      <c r="S15" s="528"/>
      <c r="T15" s="515"/>
      <c r="U15" s="528"/>
      <c r="V15" s="515"/>
      <c r="W15" s="528"/>
      <c r="X15" s="515"/>
      <c r="Y15" s="528"/>
      <c r="Z15" s="515"/>
      <c r="AA15" s="528"/>
      <c r="AB15" s="515"/>
      <c r="AC15" s="528"/>
      <c r="AD15" s="515"/>
      <c r="AE15" s="528"/>
      <c r="AF15" s="744">
        <v>16.98528456183004</v>
      </c>
      <c r="AG15" s="745"/>
      <c r="AH15" s="744">
        <v>14.775281409533731</v>
      </c>
      <c r="AI15" s="745"/>
      <c r="AJ15" s="744">
        <v>16.44830953438769</v>
      </c>
      <c r="AK15" s="745"/>
      <c r="AL15" s="744">
        <v>15.645177713115892</v>
      </c>
      <c r="AM15" s="745"/>
      <c r="AN15" s="744">
        <v>16.585153189771322</v>
      </c>
      <c r="AO15" s="745"/>
      <c r="AP15" s="744">
        <v>17.394845447360723</v>
      </c>
      <c r="AQ15" s="745"/>
      <c r="AR15" s="744">
        <v>18.13204613810085</v>
      </c>
      <c r="AS15" s="745"/>
      <c r="AT15" s="744">
        <v>18.114924256648862</v>
      </c>
      <c r="AU15" s="745"/>
      <c r="AV15" s="744">
        <v>18.63333858420841</v>
      </c>
      <c r="AW15" s="528"/>
      <c r="AX15" s="446"/>
      <c r="AY15" s="195"/>
      <c r="AZ15" s="695">
        <v>7</v>
      </c>
      <c r="BA15" s="699" t="s">
        <v>382</v>
      </c>
      <c r="BB15" s="695" t="s">
        <v>78</v>
      </c>
      <c r="BC15" s="79" t="s">
        <v>82</v>
      </c>
      <c r="BD15" s="543"/>
      <c r="BE15" s="79" t="str">
        <f t="shared" si="14"/>
        <v>N/A</v>
      </c>
      <c r="BF15" s="543"/>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ok</v>
      </c>
      <c r="CF15" s="79"/>
      <c r="CG15" s="79" t="str">
        <f aca="true" t="shared" si="33" ref="CG15:CG40">IF(OR(ISBLANK(AH15),ISBLANK(AJ15)),"N/A",IF(ABS((AJ15-AH15)/AH15)&gt;0.25,"&gt; 25%","ok"))</f>
        <v>ok</v>
      </c>
      <c r="CH15" s="79"/>
      <c r="CI15" s="79" t="str">
        <f t="shared" si="15"/>
        <v>ok</v>
      </c>
      <c r="CJ15" s="79"/>
      <c r="CK15" s="79" t="str">
        <f t="shared" si="16"/>
        <v>ok</v>
      </c>
      <c r="CL15" s="79"/>
      <c r="CM15" s="79" t="str">
        <f t="shared" si="17"/>
        <v>ok</v>
      </c>
      <c r="CN15" s="79"/>
      <c r="CO15" s="79" t="str">
        <f t="shared" si="18"/>
        <v>ok</v>
      </c>
      <c r="CP15" s="79"/>
      <c r="CQ15" s="79" t="str">
        <f t="shared" si="19"/>
        <v>ok</v>
      </c>
      <c r="CR15" s="79"/>
      <c r="CS15" s="79" t="str">
        <f t="shared" si="20"/>
        <v>ok</v>
      </c>
      <c r="CT15" s="79"/>
    </row>
    <row r="16" spans="1:98" s="338" customFormat="1" ht="15" customHeight="1">
      <c r="A16" s="192"/>
      <c r="B16" s="611">
        <v>257</v>
      </c>
      <c r="C16" s="627">
        <v>8</v>
      </c>
      <c r="D16" s="339" t="s">
        <v>117</v>
      </c>
      <c r="E16" s="226" t="s">
        <v>298</v>
      </c>
      <c r="F16" s="515"/>
      <c r="G16" s="528"/>
      <c r="H16" s="515"/>
      <c r="I16" s="528"/>
      <c r="J16" s="515"/>
      <c r="K16" s="528"/>
      <c r="L16" s="515"/>
      <c r="M16" s="528"/>
      <c r="N16" s="515"/>
      <c r="O16" s="528"/>
      <c r="P16" s="515"/>
      <c r="Q16" s="528"/>
      <c r="R16" s="515"/>
      <c r="S16" s="528"/>
      <c r="T16" s="515"/>
      <c r="U16" s="528"/>
      <c r="V16" s="515"/>
      <c r="W16" s="528"/>
      <c r="X16" s="515"/>
      <c r="Y16" s="528"/>
      <c r="Z16" s="515"/>
      <c r="AA16" s="528"/>
      <c r="AB16" s="515"/>
      <c r="AC16" s="528"/>
      <c r="AD16" s="515"/>
      <c r="AE16" s="528"/>
      <c r="AF16" s="747"/>
      <c r="AG16" s="528"/>
      <c r="AH16" s="515"/>
      <c r="AI16" s="528"/>
      <c r="AJ16" s="515"/>
      <c r="AK16" s="528"/>
      <c r="AL16" s="515"/>
      <c r="AM16" s="528"/>
      <c r="AN16" s="515"/>
      <c r="AO16" s="528"/>
      <c r="AP16" s="515"/>
      <c r="AQ16" s="528"/>
      <c r="AR16" s="515"/>
      <c r="AS16" s="528"/>
      <c r="AT16" s="515"/>
      <c r="AU16" s="528"/>
      <c r="AV16" s="515"/>
      <c r="AW16" s="528"/>
      <c r="AX16" s="446"/>
      <c r="AY16" s="195"/>
      <c r="AZ16" s="695">
        <v>8</v>
      </c>
      <c r="BA16" s="699" t="s">
        <v>117</v>
      </c>
      <c r="BB16" s="695" t="s">
        <v>78</v>
      </c>
      <c r="BC16" s="79" t="s">
        <v>82</v>
      </c>
      <c r="BD16" s="543"/>
      <c r="BE16" s="79" t="str">
        <f t="shared" si="14"/>
        <v>N/A</v>
      </c>
      <c r="BF16" s="54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8" customFormat="1" ht="15" customHeight="1">
      <c r="A17" s="192"/>
      <c r="B17" s="611">
        <v>263</v>
      </c>
      <c r="C17" s="627">
        <v>9</v>
      </c>
      <c r="D17" s="575" t="s">
        <v>587</v>
      </c>
      <c r="E17" s="226" t="s">
        <v>298</v>
      </c>
      <c r="F17" s="515"/>
      <c r="G17" s="528"/>
      <c r="H17" s="515"/>
      <c r="I17" s="528"/>
      <c r="J17" s="515"/>
      <c r="K17" s="528"/>
      <c r="L17" s="515"/>
      <c r="M17" s="528"/>
      <c r="N17" s="515"/>
      <c r="O17" s="528"/>
      <c r="P17" s="515"/>
      <c r="Q17" s="528"/>
      <c r="R17" s="515"/>
      <c r="S17" s="528"/>
      <c r="T17" s="515"/>
      <c r="U17" s="528"/>
      <c r="V17" s="515"/>
      <c r="W17" s="528"/>
      <c r="X17" s="515"/>
      <c r="Y17" s="528"/>
      <c r="Z17" s="515"/>
      <c r="AA17" s="528"/>
      <c r="AB17" s="515"/>
      <c r="AC17" s="528"/>
      <c r="AD17" s="515"/>
      <c r="AE17" s="528"/>
      <c r="AF17" s="515"/>
      <c r="AG17" s="528"/>
      <c r="AH17" s="515"/>
      <c r="AI17" s="528"/>
      <c r="AJ17" s="515"/>
      <c r="AK17" s="528"/>
      <c r="AL17" s="515"/>
      <c r="AM17" s="528"/>
      <c r="AN17" s="515"/>
      <c r="AO17" s="528"/>
      <c r="AP17" s="515"/>
      <c r="AQ17" s="528"/>
      <c r="AR17" s="515"/>
      <c r="AS17" s="528"/>
      <c r="AT17" s="515"/>
      <c r="AU17" s="528"/>
      <c r="AV17" s="515"/>
      <c r="AW17" s="528"/>
      <c r="AX17" s="446"/>
      <c r="AY17" s="195"/>
      <c r="AZ17" s="695">
        <v>9</v>
      </c>
      <c r="BA17" s="700" t="s">
        <v>564</v>
      </c>
      <c r="BB17" s="695" t="s">
        <v>78</v>
      </c>
      <c r="BC17" s="79"/>
      <c r="BD17" s="543"/>
      <c r="BE17" s="79" t="str">
        <f t="shared" si="14"/>
        <v>N/A</v>
      </c>
      <c r="BF17" s="54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8" customFormat="1" ht="15" customHeight="1">
      <c r="A18" s="192"/>
      <c r="B18" s="611">
        <v>264</v>
      </c>
      <c r="C18" s="627">
        <v>10</v>
      </c>
      <c r="D18" s="339" t="s">
        <v>518</v>
      </c>
      <c r="E18" s="226" t="s">
        <v>298</v>
      </c>
      <c r="F18" s="515"/>
      <c r="G18" s="528"/>
      <c r="H18" s="515"/>
      <c r="I18" s="528"/>
      <c r="J18" s="515"/>
      <c r="K18" s="528"/>
      <c r="L18" s="515"/>
      <c r="M18" s="528"/>
      <c r="N18" s="515"/>
      <c r="O18" s="528"/>
      <c r="P18" s="515"/>
      <c r="Q18" s="528"/>
      <c r="R18" s="515"/>
      <c r="S18" s="528"/>
      <c r="T18" s="515"/>
      <c r="U18" s="528"/>
      <c r="V18" s="515"/>
      <c r="W18" s="528"/>
      <c r="X18" s="515"/>
      <c r="Y18" s="528"/>
      <c r="Z18" s="515"/>
      <c r="AA18" s="524"/>
      <c r="AB18" s="515"/>
      <c r="AC18" s="528"/>
      <c r="AD18" s="515"/>
      <c r="AE18" s="528"/>
      <c r="AF18" s="515"/>
      <c r="AG18" s="528"/>
      <c r="AH18" s="515"/>
      <c r="AI18" s="528"/>
      <c r="AJ18" s="515"/>
      <c r="AK18" s="528"/>
      <c r="AL18" s="515"/>
      <c r="AM18" s="528"/>
      <c r="AN18" s="515"/>
      <c r="AO18" s="528"/>
      <c r="AP18" s="515"/>
      <c r="AQ18" s="528"/>
      <c r="AR18" s="515"/>
      <c r="AS18" s="528"/>
      <c r="AT18" s="515"/>
      <c r="AU18" s="528"/>
      <c r="AV18" s="515"/>
      <c r="AW18" s="528"/>
      <c r="AX18" s="446"/>
      <c r="AY18" s="195"/>
      <c r="AZ18" s="695">
        <v>10</v>
      </c>
      <c r="BA18" s="699" t="s">
        <v>518</v>
      </c>
      <c r="BB18" s="695" t="s">
        <v>78</v>
      </c>
      <c r="BC18" s="79"/>
      <c r="BD18" s="543"/>
      <c r="BE18" s="79" t="str">
        <f t="shared" si="14"/>
        <v>N/A</v>
      </c>
      <c r="BF18" s="54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8" customFormat="1" ht="15" customHeight="1">
      <c r="A19" s="192"/>
      <c r="B19" s="611">
        <v>258</v>
      </c>
      <c r="C19" s="627">
        <v>11</v>
      </c>
      <c r="D19" s="339" t="s">
        <v>487</v>
      </c>
      <c r="E19" s="226" t="s">
        <v>298</v>
      </c>
      <c r="F19" s="515"/>
      <c r="G19" s="528"/>
      <c r="H19" s="515"/>
      <c r="I19" s="528"/>
      <c r="J19" s="515"/>
      <c r="K19" s="528"/>
      <c r="L19" s="515"/>
      <c r="M19" s="528"/>
      <c r="N19" s="515"/>
      <c r="O19" s="528"/>
      <c r="P19" s="515"/>
      <c r="Q19" s="528"/>
      <c r="R19" s="515"/>
      <c r="S19" s="528"/>
      <c r="T19" s="515"/>
      <c r="U19" s="528"/>
      <c r="V19" s="515"/>
      <c r="W19" s="528"/>
      <c r="X19" s="515"/>
      <c r="Y19" s="528"/>
      <c r="Z19" s="515"/>
      <c r="AA19" s="523"/>
      <c r="AB19" s="515"/>
      <c r="AC19" s="528"/>
      <c r="AD19" s="515"/>
      <c r="AE19" s="528"/>
      <c r="AF19" s="515"/>
      <c r="AG19" s="528"/>
      <c r="AH19" s="515"/>
      <c r="AI19" s="528"/>
      <c r="AJ19" s="515"/>
      <c r="AK19" s="528"/>
      <c r="AL19" s="515"/>
      <c r="AM19" s="528"/>
      <c r="AN19" s="515"/>
      <c r="AO19" s="528"/>
      <c r="AP19" s="515"/>
      <c r="AQ19" s="528"/>
      <c r="AR19" s="515"/>
      <c r="AS19" s="528"/>
      <c r="AT19" s="515"/>
      <c r="AU19" s="528"/>
      <c r="AV19" s="515"/>
      <c r="AW19" s="528"/>
      <c r="AX19" s="446"/>
      <c r="AY19" s="195"/>
      <c r="AZ19" s="695">
        <v>11</v>
      </c>
      <c r="BA19" s="699" t="s">
        <v>487</v>
      </c>
      <c r="BB19" s="695" t="s">
        <v>78</v>
      </c>
      <c r="BC19" s="79" t="s">
        <v>82</v>
      </c>
      <c r="BD19" s="543"/>
      <c r="BE19" s="79" t="str">
        <f t="shared" si="14"/>
        <v>N/A</v>
      </c>
      <c r="BF19" s="54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c r="O20" s="528"/>
      <c r="P20" s="515"/>
      <c r="Q20" s="528"/>
      <c r="R20" s="515"/>
      <c r="S20" s="528"/>
      <c r="T20" s="515"/>
      <c r="U20" s="528"/>
      <c r="V20" s="515"/>
      <c r="W20" s="528"/>
      <c r="X20" s="515"/>
      <c r="Y20" s="528"/>
      <c r="Z20" s="515"/>
      <c r="AA20" s="523"/>
      <c r="AB20" s="515"/>
      <c r="AC20" s="528"/>
      <c r="AD20" s="515"/>
      <c r="AE20" s="528"/>
      <c r="AF20" s="515"/>
      <c r="AG20" s="528"/>
      <c r="AH20" s="515"/>
      <c r="AI20" s="528"/>
      <c r="AJ20" s="515"/>
      <c r="AK20" s="528"/>
      <c r="AL20" s="515"/>
      <c r="AM20" s="528"/>
      <c r="AN20" s="515"/>
      <c r="AO20" s="528"/>
      <c r="AP20" s="515"/>
      <c r="AQ20" s="528"/>
      <c r="AR20" s="515"/>
      <c r="AS20" s="528"/>
      <c r="AT20" s="515"/>
      <c r="AU20" s="528"/>
      <c r="AV20" s="515"/>
      <c r="AW20" s="528"/>
      <c r="AX20" s="446"/>
      <c r="AY20" s="195"/>
      <c r="AZ20" s="695">
        <v>12</v>
      </c>
      <c r="BA20" s="699" t="s">
        <v>515</v>
      </c>
      <c r="BB20" s="695" t="s">
        <v>78</v>
      </c>
      <c r="BC20" s="79"/>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c r="U21" s="528"/>
      <c r="V21" s="515"/>
      <c r="W21" s="528"/>
      <c r="X21" s="515"/>
      <c r="Y21" s="528"/>
      <c r="Z21" s="515"/>
      <c r="AA21" s="528"/>
      <c r="AB21" s="515"/>
      <c r="AC21" s="528"/>
      <c r="AD21" s="515"/>
      <c r="AE21" s="528"/>
      <c r="AF21" s="515"/>
      <c r="AG21" s="528"/>
      <c r="AH21" s="515"/>
      <c r="AI21" s="528"/>
      <c r="AJ21" s="515"/>
      <c r="AK21" s="528"/>
      <c r="AL21" s="515"/>
      <c r="AM21" s="528"/>
      <c r="AN21" s="515"/>
      <c r="AO21" s="528"/>
      <c r="AP21" s="515"/>
      <c r="AQ21" s="528"/>
      <c r="AR21" s="515"/>
      <c r="AS21" s="528"/>
      <c r="AT21" s="515"/>
      <c r="AU21" s="528"/>
      <c r="AV21" s="515"/>
      <c r="AW21" s="528"/>
      <c r="AX21" s="446"/>
      <c r="AY21" s="195"/>
      <c r="AZ21" s="695">
        <v>13</v>
      </c>
      <c r="BA21" s="701" t="s">
        <v>565</v>
      </c>
      <c r="BB21" s="695" t="s">
        <v>78</v>
      </c>
      <c r="BC21" s="79"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5"/>
      <c r="AI22" s="528"/>
      <c r="AJ22" s="515"/>
      <c r="AK22" s="528"/>
      <c r="AL22" s="515"/>
      <c r="AM22" s="528"/>
      <c r="AN22" s="515"/>
      <c r="AO22" s="528"/>
      <c r="AP22" s="515"/>
      <c r="AQ22" s="528"/>
      <c r="AR22" s="515"/>
      <c r="AS22" s="528"/>
      <c r="AT22" s="515"/>
      <c r="AU22" s="528"/>
      <c r="AV22" s="515"/>
      <c r="AW22" s="528"/>
      <c r="AX22" s="446"/>
      <c r="AY22" s="195"/>
      <c r="AZ22" s="695">
        <v>14</v>
      </c>
      <c r="BA22" s="702" t="s">
        <v>516</v>
      </c>
      <c r="BB22" s="695" t="s">
        <v>78</v>
      </c>
      <c r="BC22" s="79"/>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c r="G23" s="528"/>
      <c r="H23" s="515"/>
      <c r="I23" s="528"/>
      <c r="J23" s="515"/>
      <c r="K23" s="528"/>
      <c r="L23" s="515"/>
      <c r="M23" s="528"/>
      <c r="N23" s="515"/>
      <c r="O23" s="528"/>
      <c r="P23" s="515"/>
      <c r="Q23" s="528"/>
      <c r="R23" s="515"/>
      <c r="S23" s="528"/>
      <c r="T23" s="515"/>
      <c r="U23" s="528"/>
      <c r="V23" s="515"/>
      <c r="W23" s="528"/>
      <c r="X23" s="515"/>
      <c r="Y23" s="528"/>
      <c r="Z23" s="515"/>
      <c r="AA23" s="528"/>
      <c r="AB23" s="515"/>
      <c r="AC23" s="528"/>
      <c r="AD23" s="515"/>
      <c r="AE23" s="528"/>
      <c r="AF23" s="515"/>
      <c r="AG23" s="528"/>
      <c r="AH23" s="515"/>
      <c r="AI23" s="528"/>
      <c r="AJ23" s="515"/>
      <c r="AK23" s="528"/>
      <c r="AL23" s="515"/>
      <c r="AM23" s="528"/>
      <c r="AN23" s="515"/>
      <c r="AO23" s="528"/>
      <c r="AP23" s="515"/>
      <c r="AQ23" s="528"/>
      <c r="AR23" s="515"/>
      <c r="AS23" s="528"/>
      <c r="AT23" s="515"/>
      <c r="AU23" s="528"/>
      <c r="AV23" s="515"/>
      <c r="AW23" s="528"/>
      <c r="AX23" s="446"/>
      <c r="AY23" s="195"/>
      <c r="AZ23" s="695">
        <v>15</v>
      </c>
      <c r="BA23" s="699" t="s">
        <v>317</v>
      </c>
      <c r="BB23" s="695" t="s">
        <v>78</v>
      </c>
      <c r="BC23" s="103" t="s">
        <v>82</v>
      </c>
      <c r="BD23" s="543"/>
      <c r="BE23" s="79" t="str">
        <f t="shared" si="14"/>
        <v>N/A</v>
      </c>
      <c r="BF23" s="54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8" customFormat="1" ht="15" customHeight="1">
      <c r="A24" s="192"/>
      <c r="B24" s="611">
        <v>69</v>
      </c>
      <c r="C24" s="627">
        <v>16</v>
      </c>
      <c r="D24" s="328" t="s">
        <v>285</v>
      </c>
      <c r="E24" s="226" t="s">
        <v>298</v>
      </c>
      <c r="F24" s="515"/>
      <c r="G24" s="528"/>
      <c r="H24" s="515"/>
      <c r="I24" s="528"/>
      <c r="J24" s="515"/>
      <c r="K24" s="528"/>
      <c r="L24" s="515"/>
      <c r="M24" s="528"/>
      <c r="N24" s="515"/>
      <c r="O24" s="528"/>
      <c r="P24" s="515"/>
      <c r="Q24" s="528"/>
      <c r="R24" s="515"/>
      <c r="S24" s="528"/>
      <c r="T24" s="515"/>
      <c r="U24" s="528"/>
      <c r="V24" s="515"/>
      <c r="W24" s="528"/>
      <c r="X24" s="515"/>
      <c r="Y24" s="528"/>
      <c r="Z24" s="515"/>
      <c r="AA24" s="528"/>
      <c r="AB24" s="515"/>
      <c r="AC24" s="528"/>
      <c r="AD24" s="515"/>
      <c r="AE24" s="528"/>
      <c r="AF24" s="744">
        <v>0.5980594540833242</v>
      </c>
      <c r="AG24" s="745"/>
      <c r="AH24" s="744">
        <v>0.5454353174014327</v>
      </c>
      <c r="AI24" s="745"/>
      <c r="AJ24" s="744">
        <v>0.6364844712975292</v>
      </c>
      <c r="AK24" s="745"/>
      <c r="AL24" s="744">
        <v>0.6345300704315665</v>
      </c>
      <c r="AM24" s="745"/>
      <c r="AN24" s="744">
        <v>0.7049610932776792</v>
      </c>
      <c r="AO24" s="745"/>
      <c r="AP24" s="744">
        <v>0.5167394035957144</v>
      </c>
      <c r="AQ24" s="745"/>
      <c r="AR24" s="744">
        <v>0.3265415989583699</v>
      </c>
      <c r="AS24" s="745"/>
      <c r="AT24" s="744">
        <v>0.22698037829641896</v>
      </c>
      <c r="AU24" s="745"/>
      <c r="AV24" s="744">
        <v>0.18402567404290504</v>
      </c>
      <c r="AW24" s="745"/>
      <c r="AX24" s="446"/>
      <c r="AY24" s="195"/>
      <c r="AZ24" s="695">
        <v>16</v>
      </c>
      <c r="BA24" s="694" t="s">
        <v>285</v>
      </c>
      <c r="BB24" s="695" t="s">
        <v>78</v>
      </c>
      <c r="BC24" s="79" t="s">
        <v>82</v>
      </c>
      <c r="BD24" s="543"/>
      <c r="BE24" s="79" t="str">
        <f t="shared" si="14"/>
        <v>N/A</v>
      </c>
      <c r="BF24" s="543"/>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ok</v>
      </c>
      <c r="CF24" s="79"/>
      <c r="CG24" s="79" t="str">
        <f t="shared" si="33"/>
        <v>ok</v>
      </c>
      <c r="CH24" s="79"/>
      <c r="CI24" s="79" t="str">
        <f t="shared" si="15"/>
        <v>ok</v>
      </c>
      <c r="CJ24" s="79"/>
      <c r="CK24" s="79" t="str">
        <f t="shared" si="16"/>
        <v>ok</v>
      </c>
      <c r="CL24" s="79"/>
      <c r="CM24" s="79" t="str">
        <f t="shared" si="17"/>
        <v>&gt; 25%</v>
      </c>
      <c r="CN24" s="79"/>
      <c r="CO24" s="79" t="str">
        <f t="shared" si="18"/>
        <v>&gt; 25%</v>
      </c>
      <c r="CP24" s="79"/>
      <c r="CQ24" s="79" t="str">
        <f t="shared" si="19"/>
        <v>&gt; 25%</v>
      </c>
      <c r="CR24" s="79"/>
      <c r="CS24" s="79" t="str">
        <f t="shared" si="20"/>
        <v>ok</v>
      </c>
      <c r="CT24" s="79"/>
    </row>
    <row r="25" spans="1:98" s="338" customFormat="1" ht="15" customHeight="1">
      <c r="A25" s="192"/>
      <c r="B25" s="327">
        <v>78</v>
      </c>
      <c r="C25" s="627">
        <v>17</v>
      </c>
      <c r="D25" s="328" t="s">
        <v>501</v>
      </c>
      <c r="E25" s="226" t="s">
        <v>298</v>
      </c>
      <c r="F25" s="515"/>
      <c r="G25" s="528"/>
      <c r="H25" s="515"/>
      <c r="I25" s="528"/>
      <c r="J25" s="515"/>
      <c r="K25" s="528"/>
      <c r="L25" s="515"/>
      <c r="M25" s="528"/>
      <c r="N25" s="515"/>
      <c r="O25" s="528"/>
      <c r="P25" s="515"/>
      <c r="Q25" s="528"/>
      <c r="R25" s="515"/>
      <c r="S25" s="528"/>
      <c r="T25" s="515"/>
      <c r="U25" s="528"/>
      <c r="V25" s="515"/>
      <c r="W25" s="528"/>
      <c r="X25" s="515"/>
      <c r="Y25" s="528"/>
      <c r="Z25" s="515"/>
      <c r="AA25" s="528"/>
      <c r="AB25" s="515"/>
      <c r="AC25" s="528"/>
      <c r="AD25" s="515"/>
      <c r="AE25" s="528"/>
      <c r="AF25" s="515"/>
      <c r="AG25" s="528"/>
      <c r="AH25" s="515"/>
      <c r="AI25" s="528"/>
      <c r="AJ25" s="515"/>
      <c r="AK25" s="528"/>
      <c r="AL25" s="515"/>
      <c r="AM25" s="528"/>
      <c r="AN25" s="515"/>
      <c r="AO25" s="528"/>
      <c r="AP25" s="515"/>
      <c r="AQ25" s="528"/>
      <c r="AR25" s="515"/>
      <c r="AS25" s="528"/>
      <c r="AT25" s="515"/>
      <c r="AU25" s="528"/>
      <c r="AV25" s="515"/>
      <c r="AW25" s="528"/>
      <c r="AX25" s="446"/>
      <c r="AY25" s="195"/>
      <c r="AZ25" s="695">
        <v>17</v>
      </c>
      <c r="BA25" s="694" t="s">
        <v>501</v>
      </c>
      <c r="BB25" s="695" t="s">
        <v>78</v>
      </c>
      <c r="BC25" s="79" t="s">
        <v>82</v>
      </c>
      <c r="BD25" s="543"/>
      <c r="BE25" s="79" t="str">
        <f t="shared" si="14"/>
        <v>N/A</v>
      </c>
      <c r="BF25" s="54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c r="G26" s="528"/>
      <c r="H26" s="515"/>
      <c r="I26" s="528"/>
      <c r="J26" s="515"/>
      <c r="K26" s="528"/>
      <c r="L26" s="515"/>
      <c r="M26" s="528"/>
      <c r="N26" s="515"/>
      <c r="O26" s="528"/>
      <c r="P26" s="515"/>
      <c r="Q26" s="528"/>
      <c r="R26" s="515"/>
      <c r="S26" s="528"/>
      <c r="T26" s="515"/>
      <c r="U26" s="528"/>
      <c r="V26" s="515"/>
      <c r="W26" s="528"/>
      <c r="X26" s="515"/>
      <c r="Y26" s="528"/>
      <c r="Z26" s="515"/>
      <c r="AA26" s="528"/>
      <c r="AB26" s="515"/>
      <c r="AC26" s="528"/>
      <c r="AD26" s="515"/>
      <c r="AE26" s="528"/>
      <c r="AF26" s="515"/>
      <c r="AG26" s="528"/>
      <c r="AH26" s="515"/>
      <c r="AI26" s="528"/>
      <c r="AJ26" s="515"/>
      <c r="AK26" s="528"/>
      <c r="AL26" s="515"/>
      <c r="AM26" s="528"/>
      <c r="AN26" s="515"/>
      <c r="AO26" s="528"/>
      <c r="AP26" s="515"/>
      <c r="AQ26" s="528"/>
      <c r="AR26" s="515"/>
      <c r="AS26" s="528"/>
      <c r="AT26" s="515"/>
      <c r="AU26" s="528"/>
      <c r="AV26" s="515"/>
      <c r="AW26" s="528"/>
      <c r="AX26" s="446"/>
      <c r="AY26" s="195"/>
      <c r="AZ26" s="695">
        <v>18</v>
      </c>
      <c r="BA26" s="694" t="s">
        <v>495</v>
      </c>
      <c r="BB26" s="695" t="s">
        <v>78</v>
      </c>
      <c r="BC26" s="79" t="s">
        <v>82</v>
      </c>
      <c r="BD26" s="543"/>
      <c r="BE26" s="79" t="str">
        <f t="shared" si="14"/>
        <v>N/A</v>
      </c>
      <c r="BF26" s="54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7">
        <v>19</v>
      </c>
      <c r="D27" s="328" t="s">
        <v>87</v>
      </c>
      <c r="E27" s="226" t="s">
        <v>298</v>
      </c>
      <c r="F27" s="515"/>
      <c r="G27" s="528"/>
      <c r="H27" s="515"/>
      <c r="I27" s="528"/>
      <c r="J27" s="515"/>
      <c r="K27" s="528"/>
      <c r="L27" s="515"/>
      <c r="M27" s="528"/>
      <c r="N27" s="515"/>
      <c r="O27" s="528"/>
      <c r="P27" s="515"/>
      <c r="Q27" s="528"/>
      <c r="R27" s="515"/>
      <c r="S27" s="528"/>
      <c r="T27" s="515"/>
      <c r="U27" s="528"/>
      <c r="V27" s="515"/>
      <c r="W27" s="528"/>
      <c r="X27" s="515"/>
      <c r="Y27" s="528"/>
      <c r="Z27" s="515"/>
      <c r="AA27" s="528"/>
      <c r="AB27" s="515"/>
      <c r="AC27" s="528"/>
      <c r="AD27" s="515"/>
      <c r="AE27" s="528"/>
      <c r="AF27" s="515"/>
      <c r="AG27" s="528"/>
      <c r="AH27" s="515"/>
      <c r="AI27" s="528"/>
      <c r="AJ27" s="515"/>
      <c r="AK27" s="528"/>
      <c r="AL27" s="515"/>
      <c r="AM27" s="528"/>
      <c r="AN27" s="515"/>
      <c r="AO27" s="528"/>
      <c r="AP27" s="515"/>
      <c r="AQ27" s="528"/>
      <c r="AR27" s="515"/>
      <c r="AS27" s="528"/>
      <c r="AT27" s="515"/>
      <c r="AU27" s="528"/>
      <c r="AV27" s="515"/>
      <c r="AW27" s="528"/>
      <c r="AX27" s="446"/>
      <c r="AY27" s="195"/>
      <c r="AZ27" s="695">
        <v>19</v>
      </c>
      <c r="BA27" s="694" t="s">
        <v>87</v>
      </c>
      <c r="BB27" s="695" t="s">
        <v>78</v>
      </c>
      <c r="BC27" s="79" t="s">
        <v>82</v>
      </c>
      <c r="BD27" s="543"/>
      <c r="BE27" s="79" t="str">
        <f t="shared" si="14"/>
        <v>N/A</v>
      </c>
      <c r="BF27" s="54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5">
        <v>20</v>
      </c>
      <c r="D28" s="626" t="s">
        <v>602</v>
      </c>
      <c r="E28" s="226" t="s">
        <v>298</v>
      </c>
      <c r="F28" s="516"/>
      <c r="G28" s="528"/>
      <c r="H28" s="515"/>
      <c r="I28" s="528"/>
      <c r="J28" s="516"/>
      <c r="K28" s="528"/>
      <c r="L28" s="515"/>
      <c r="M28" s="528"/>
      <c r="N28" s="516"/>
      <c r="O28" s="528"/>
      <c r="P28" s="516"/>
      <c r="Q28" s="528"/>
      <c r="R28" s="515"/>
      <c r="S28" s="528"/>
      <c r="T28" s="515"/>
      <c r="U28" s="528"/>
      <c r="V28" s="516"/>
      <c r="W28" s="528"/>
      <c r="X28" s="516"/>
      <c r="Y28" s="528"/>
      <c r="Z28" s="515"/>
      <c r="AA28" s="528"/>
      <c r="AB28" s="515"/>
      <c r="AC28" s="528"/>
      <c r="AD28" s="516"/>
      <c r="AE28" s="528"/>
      <c r="AF28" s="746">
        <f>AF12+AF24+AF25+AF26-AF27</f>
        <v>131.34208849578485</v>
      </c>
      <c r="AG28" s="528"/>
      <c r="AH28" s="746">
        <f>AH12+AH24+AH25+AH26-AH27</f>
        <v>127.29817330215407</v>
      </c>
      <c r="AI28" s="528"/>
      <c r="AJ28" s="746">
        <f>AJ12+AJ24+AJ25+AJ26-AJ27</f>
        <v>135.75027384905528</v>
      </c>
      <c r="AK28" s="528"/>
      <c r="AL28" s="746">
        <f>AL12+AL24+AL25+AL26-AL27</f>
        <v>138.9696204415804</v>
      </c>
      <c r="AM28" s="528"/>
      <c r="AN28" s="746">
        <f>AN12+AN24+AN25+AN26-AN27</f>
        <v>141.8394045682734</v>
      </c>
      <c r="AO28" s="528"/>
      <c r="AP28" s="746">
        <f>AP12+AP24+AP25+AP26-AP27</f>
        <v>139.47491185095646</v>
      </c>
      <c r="AQ28" s="528"/>
      <c r="AR28" s="746">
        <f>AR12+AR24+AR25+AR26-AR27</f>
        <v>151.46397533705914</v>
      </c>
      <c r="AS28" s="528"/>
      <c r="AT28" s="746">
        <f>AT12+AT24+AT25+AT26-AT27</f>
        <v>154.8401706349453</v>
      </c>
      <c r="AU28" s="528"/>
      <c r="AV28" s="746">
        <f>AV12+AV24+AV25+AV26-AV27</f>
        <v>154.03158225825132</v>
      </c>
      <c r="AW28" s="528"/>
      <c r="AX28" s="583"/>
      <c r="AY28" s="342"/>
      <c r="AZ28" s="696">
        <v>20</v>
      </c>
      <c r="BA28" s="697" t="s">
        <v>602</v>
      </c>
      <c r="BB28" s="695" t="s">
        <v>78</v>
      </c>
      <c r="BC28" s="79" t="s">
        <v>82</v>
      </c>
      <c r="BD28" s="547"/>
      <c r="BE28" s="79" t="str">
        <f t="shared" si="14"/>
        <v>N/A</v>
      </c>
      <c r="BF28" s="547"/>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ok</v>
      </c>
      <c r="CF28" s="79"/>
      <c r="CG28" s="79" t="str">
        <f t="shared" si="33"/>
        <v>ok</v>
      </c>
      <c r="CH28" s="79"/>
      <c r="CI28" s="79" t="str">
        <f t="shared" si="15"/>
        <v>ok</v>
      </c>
      <c r="CJ28" s="79"/>
      <c r="CK28" s="79" t="str">
        <f t="shared" si="16"/>
        <v>ok</v>
      </c>
      <c r="CL28" s="79"/>
      <c r="CM28" s="79" t="str">
        <f t="shared" si="17"/>
        <v>ok</v>
      </c>
      <c r="CN28" s="79"/>
      <c r="CO28" s="79" t="str">
        <f t="shared" si="18"/>
        <v>ok</v>
      </c>
      <c r="CP28" s="79"/>
      <c r="CQ28" s="79" t="str">
        <f t="shared" si="19"/>
        <v>ok</v>
      </c>
      <c r="CR28" s="79"/>
      <c r="CS28" s="79" t="str">
        <f t="shared" si="20"/>
        <v>ok</v>
      </c>
      <c r="CT28" s="103"/>
    </row>
    <row r="29" spans="1:98" s="341" customFormat="1" ht="15" customHeight="1">
      <c r="A29" s="343"/>
      <c r="B29" s="327">
        <v>34</v>
      </c>
      <c r="C29" s="627">
        <v>21</v>
      </c>
      <c r="D29" s="628" t="s">
        <v>13</v>
      </c>
      <c r="E29" s="226" t="s">
        <v>298</v>
      </c>
      <c r="F29" s="515"/>
      <c r="G29" s="528"/>
      <c r="H29" s="515"/>
      <c r="I29" s="528"/>
      <c r="J29" s="515"/>
      <c r="K29" s="528"/>
      <c r="L29" s="515"/>
      <c r="M29" s="528"/>
      <c r="N29" s="515"/>
      <c r="O29" s="528"/>
      <c r="P29" s="515"/>
      <c r="Q29" s="528"/>
      <c r="R29" s="515"/>
      <c r="S29" s="528"/>
      <c r="T29" s="515"/>
      <c r="U29" s="528"/>
      <c r="V29" s="515"/>
      <c r="W29" s="528"/>
      <c r="X29" s="515"/>
      <c r="Y29" s="528"/>
      <c r="Z29" s="515"/>
      <c r="AA29" s="528"/>
      <c r="AB29" s="515"/>
      <c r="AC29" s="528"/>
      <c r="AD29" s="515"/>
      <c r="AE29" s="528"/>
      <c r="AF29" s="748">
        <v>48.590748479871486</v>
      </c>
      <c r="AG29" s="748"/>
      <c r="AH29" s="748">
        <v>53.144347406764325</v>
      </c>
      <c r="AI29" s="748"/>
      <c r="AJ29" s="748">
        <v>50.686549000000014</v>
      </c>
      <c r="AK29" s="748"/>
      <c r="AL29" s="748">
        <v>55.434563</v>
      </c>
      <c r="AM29" s="748"/>
      <c r="AN29" s="748">
        <v>53.9012129</v>
      </c>
      <c r="AO29" s="748"/>
      <c r="AP29" s="748">
        <v>48.515047000000024</v>
      </c>
      <c r="AQ29" s="748"/>
      <c r="AR29" s="748">
        <v>59.52933259999993</v>
      </c>
      <c r="AS29" s="748"/>
      <c r="AT29" s="748">
        <v>66.350901</v>
      </c>
      <c r="AU29" s="748"/>
      <c r="AV29" s="748">
        <v>65.12897421200003</v>
      </c>
      <c r="AW29" s="528"/>
      <c r="AX29" s="583"/>
      <c r="AY29" s="342"/>
      <c r="AZ29" s="696">
        <v>21</v>
      </c>
      <c r="BA29" s="697" t="s">
        <v>13</v>
      </c>
      <c r="BB29" s="695" t="s">
        <v>78</v>
      </c>
      <c r="BC29" s="79" t="s">
        <v>82</v>
      </c>
      <c r="BD29" s="547"/>
      <c r="BE29" s="79" t="str">
        <f t="shared" si="14"/>
        <v>N/A</v>
      </c>
      <c r="BF29" s="547"/>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ok</v>
      </c>
      <c r="CF29" s="79"/>
      <c r="CG29" s="79" t="str">
        <f t="shared" si="33"/>
        <v>ok</v>
      </c>
      <c r="CH29" s="79"/>
      <c r="CI29" s="79" t="str">
        <f t="shared" si="15"/>
        <v>ok</v>
      </c>
      <c r="CJ29" s="79"/>
      <c r="CK29" s="79" t="str">
        <f t="shared" si="16"/>
        <v>ok</v>
      </c>
      <c r="CL29" s="79"/>
      <c r="CM29" s="79" t="str">
        <f t="shared" si="17"/>
        <v>ok</v>
      </c>
      <c r="CN29" s="79"/>
      <c r="CO29" s="79" t="str">
        <f t="shared" si="18"/>
        <v>ok</v>
      </c>
      <c r="CP29" s="79"/>
      <c r="CQ29" s="79" t="str">
        <f t="shared" si="19"/>
        <v>ok</v>
      </c>
      <c r="CR29" s="79"/>
      <c r="CS29" s="79" t="str">
        <f t="shared" si="20"/>
        <v>ok</v>
      </c>
      <c r="CT29" s="103"/>
    </row>
    <row r="30" spans="1:98" s="341" customFormat="1" ht="15" customHeight="1">
      <c r="A30" s="343" t="s">
        <v>65</v>
      </c>
      <c r="B30" s="327">
        <v>35</v>
      </c>
      <c r="C30" s="625">
        <v>22</v>
      </c>
      <c r="D30" s="334" t="s">
        <v>600</v>
      </c>
      <c r="E30" s="226" t="s">
        <v>298</v>
      </c>
      <c r="F30" s="515"/>
      <c r="G30" s="528"/>
      <c r="H30" s="515"/>
      <c r="I30" s="528"/>
      <c r="J30" s="515"/>
      <c r="K30" s="528"/>
      <c r="L30" s="515"/>
      <c r="M30" s="528"/>
      <c r="N30" s="515"/>
      <c r="O30" s="528"/>
      <c r="P30" s="515"/>
      <c r="Q30" s="528"/>
      <c r="R30" s="515"/>
      <c r="S30" s="528"/>
      <c r="T30" s="515"/>
      <c r="U30" s="528"/>
      <c r="V30" s="515"/>
      <c r="W30" s="528"/>
      <c r="X30" s="515"/>
      <c r="Y30" s="528"/>
      <c r="Z30" s="515"/>
      <c r="AA30" s="528"/>
      <c r="AB30" s="515"/>
      <c r="AC30" s="528"/>
      <c r="AD30" s="515"/>
      <c r="AE30" s="528"/>
      <c r="AF30" s="747">
        <f>AF28-AF29</f>
        <v>82.75134001591337</v>
      </c>
      <c r="AG30" s="528"/>
      <c r="AH30" s="747">
        <f>AH28-AH29</f>
        <v>74.15382589538974</v>
      </c>
      <c r="AI30" s="528"/>
      <c r="AJ30" s="747">
        <f>AJ28-AJ29</f>
        <v>85.06372484905526</v>
      </c>
      <c r="AK30" s="528"/>
      <c r="AL30" s="747">
        <f>AL28-AL29</f>
        <v>83.53505744158039</v>
      </c>
      <c r="AM30" s="528"/>
      <c r="AN30" s="747">
        <f>AN28-AN29</f>
        <v>87.93819166827342</v>
      </c>
      <c r="AO30" s="528"/>
      <c r="AP30" s="747">
        <f>AP28-AP29</f>
        <v>90.95986485095644</v>
      </c>
      <c r="AQ30" s="528"/>
      <c r="AR30" s="747">
        <f>AR28-AR29</f>
        <v>91.9346427370592</v>
      </c>
      <c r="AS30" s="528"/>
      <c r="AT30" s="747">
        <f>AT28-AT29</f>
        <v>88.48926963494532</v>
      </c>
      <c r="AU30" s="528"/>
      <c r="AV30" s="747">
        <f>AV28-AV29</f>
        <v>88.90260804625129</v>
      </c>
      <c r="AW30" s="528"/>
      <c r="AX30" s="583"/>
      <c r="AY30" s="342"/>
      <c r="AZ30" s="696">
        <v>22</v>
      </c>
      <c r="BA30" s="697" t="s">
        <v>600</v>
      </c>
      <c r="BB30" s="695" t="s">
        <v>78</v>
      </c>
      <c r="BC30" s="103" t="s">
        <v>82</v>
      </c>
      <c r="BD30" s="547"/>
      <c r="BE30" s="79" t="str">
        <f t="shared" si="14"/>
        <v>N/A</v>
      </c>
      <c r="BF30" s="54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ok</v>
      </c>
      <c r="CF30" s="79"/>
      <c r="CG30" s="79" t="str">
        <f t="shared" si="33"/>
        <v>ok</v>
      </c>
      <c r="CH30" s="79"/>
      <c r="CI30" s="79" t="str">
        <f t="shared" si="15"/>
        <v>ok</v>
      </c>
      <c r="CJ30" s="79"/>
      <c r="CK30" s="79" t="str">
        <f t="shared" si="16"/>
        <v>ok</v>
      </c>
      <c r="CL30" s="79"/>
      <c r="CM30" s="79" t="str">
        <f t="shared" si="17"/>
        <v>ok</v>
      </c>
      <c r="CN30" s="79"/>
      <c r="CO30" s="79" t="str">
        <f t="shared" si="18"/>
        <v>ok</v>
      </c>
      <c r="CP30" s="79"/>
      <c r="CQ30" s="79" t="str">
        <f t="shared" si="19"/>
        <v>ok</v>
      </c>
      <c r="CR30" s="79"/>
      <c r="CS30" s="79" t="str">
        <f t="shared" si="20"/>
        <v>ok</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c r="AE32" s="528"/>
      <c r="AF32" s="748">
        <v>62.42544138306356</v>
      </c>
      <c r="AG32" s="749"/>
      <c r="AH32" s="748">
        <v>55.805123726935165</v>
      </c>
      <c r="AI32" s="749"/>
      <c r="AJ32" s="748">
        <v>63.861368019724715</v>
      </c>
      <c r="AK32" s="749"/>
      <c r="AL32" s="748">
        <v>62.595611246320665</v>
      </c>
      <c r="AM32" s="749"/>
      <c r="AN32" s="748">
        <v>68.17603428304899</v>
      </c>
      <c r="AO32" s="749"/>
      <c r="AP32" s="748">
        <v>70.11848585095643</v>
      </c>
      <c r="AQ32" s="749"/>
      <c r="AR32" s="748">
        <v>71.06965573705922</v>
      </c>
      <c r="AS32" s="749"/>
      <c r="AT32" s="748">
        <v>69.89820363494529</v>
      </c>
      <c r="AU32" s="749"/>
      <c r="AV32" s="748">
        <v>71.46705004625132</v>
      </c>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ok</v>
      </c>
      <c r="CF32" s="79"/>
      <c r="CG32" s="79" t="str">
        <f t="shared" si="33"/>
        <v>ok</v>
      </c>
      <c r="CH32" s="79"/>
      <c r="CI32" s="79" t="str">
        <f t="shared" si="15"/>
        <v>ok</v>
      </c>
      <c r="CJ32" s="79"/>
      <c r="CK32" s="79" t="str">
        <f t="shared" si="16"/>
        <v>ok</v>
      </c>
      <c r="CL32" s="79"/>
      <c r="CM32" s="79" t="str">
        <f t="shared" si="17"/>
        <v>ok</v>
      </c>
      <c r="CN32" s="79"/>
      <c r="CO32" s="79" t="str">
        <f t="shared" si="18"/>
        <v>ok</v>
      </c>
      <c r="CP32" s="79"/>
      <c r="CQ32" s="79" t="str">
        <f t="shared" si="19"/>
        <v>ok</v>
      </c>
      <c r="CR32" s="79"/>
      <c r="CS32" s="79" t="str">
        <f t="shared" si="20"/>
        <v>ok</v>
      </c>
      <c r="CT32" s="79"/>
    </row>
    <row r="33" spans="1:98" s="338" customFormat="1" ht="15" customHeight="1">
      <c r="A33" s="192"/>
      <c r="B33" s="327">
        <v>280</v>
      </c>
      <c r="C33" s="629">
        <v>24</v>
      </c>
      <c r="D33" s="612" t="s">
        <v>117</v>
      </c>
      <c r="E33" s="226" t="s">
        <v>298</v>
      </c>
      <c r="F33" s="539"/>
      <c r="G33" s="525"/>
      <c r="H33" s="539"/>
      <c r="I33" s="525"/>
      <c r="J33" s="539"/>
      <c r="K33" s="525"/>
      <c r="L33" s="539"/>
      <c r="M33" s="525"/>
      <c r="N33" s="539"/>
      <c r="O33" s="525"/>
      <c r="P33" s="539"/>
      <c r="Q33" s="525"/>
      <c r="R33" s="539"/>
      <c r="S33" s="525"/>
      <c r="T33" s="539"/>
      <c r="U33" s="525"/>
      <c r="V33" s="539"/>
      <c r="W33" s="525"/>
      <c r="X33" s="539"/>
      <c r="Y33" s="525"/>
      <c r="Z33" s="539"/>
      <c r="AA33" s="525"/>
      <c r="AB33" s="539"/>
      <c r="AC33" s="525"/>
      <c r="AD33" s="539"/>
      <c r="AE33" s="525"/>
      <c r="AF33" s="756"/>
      <c r="AG33" s="525"/>
      <c r="AH33" s="539"/>
      <c r="AI33" s="525"/>
      <c r="AJ33" s="539"/>
      <c r="AK33" s="525"/>
      <c r="AL33" s="539"/>
      <c r="AM33" s="525"/>
      <c r="AN33" s="539"/>
      <c r="AO33" s="525"/>
      <c r="AP33" s="539"/>
      <c r="AQ33" s="525"/>
      <c r="AR33" s="539"/>
      <c r="AS33" s="525"/>
      <c r="AT33" s="539"/>
      <c r="AU33" s="525"/>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7">
        <v>25</v>
      </c>
      <c r="D34" s="575" t="s">
        <v>643</v>
      </c>
      <c r="E34" s="226" t="s">
        <v>298</v>
      </c>
      <c r="F34" s="539"/>
      <c r="G34" s="525"/>
      <c r="H34" s="539"/>
      <c r="I34" s="525"/>
      <c r="J34" s="539"/>
      <c r="K34" s="525"/>
      <c r="L34" s="539"/>
      <c r="M34" s="525"/>
      <c r="N34" s="539"/>
      <c r="O34" s="525"/>
      <c r="P34" s="539"/>
      <c r="Q34" s="525"/>
      <c r="R34" s="539"/>
      <c r="S34" s="525"/>
      <c r="T34" s="539"/>
      <c r="U34" s="525"/>
      <c r="V34" s="539"/>
      <c r="W34" s="525"/>
      <c r="X34" s="539"/>
      <c r="Y34" s="525"/>
      <c r="Z34" s="539"/>
      <c r="AA34" s="525"/>
      <c r="AB34" s="539"/>
      <c r="AC34" s="525"/>
      <c r="AD34" s="539"/>
      <c r="AE34" s="525"/>
      <c r="AF34" s="756"/>
      <c r="AG34" s="525"/>
      <c r="AH34" s="539"/>
      <c r="AI34" s="525"/>
      <c r="AJ34" s="539"/>
      <c r="AK34" s="525"/>
      <c r="AL34" s="539"/>
      <c r="AM34" s="525"/>
      <c r="AN34" s="539"/>
      <c r="AO34" s="525"/>
      <c r="AP34" s="539"/>
      <c r="AQ34" s="525"/>
      <c r="AR34" s="539"/>
      <c r="AS34" s="525"/>
      <c r="AT34" s="539"/>
      <c r="AU34" s="525"/>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756"/>
      <c r="AG35" s="525"/>
      <c r="AH35" s="539"/>
      <c r="AI35" s="525"/>
      <c r="AJ35" s="539"/>
      <c r="AK35" s="525"/>
      <c r="AL35" s="539"/>
      <c r="AM35" s="525"/>
      <c r="AN35" s="539"/>
      <c r="AO35" s="525"/>
      <c r="AP35" s="539"/>
      <c r="AQ35" s="525"/>
      <c r="AR35" s="539"/>
      <c r="AS35" s="525"/>
      <c r="AT35" s="539"/>
      <c r="AU35" s="525"/>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c r="AE36" s="525"/>
      <c r="AF36" s="756"/>
      <c r="AG36" s="525"/>
      <c r="AH36" s="539"/>
      <c r="AI36" s="525"/>
      <c r="AJ36" s="539"/>
      <c r="AK36" s="525"/>
      <c r="AL36" s="539"/>
      <c r="AM36" s="525"/>
      <c r="AN36" s="539"/>
      <c r="AO36" s="525"/>
      <c r="AP36" s="539"/>
      <c r="AQ36" s="525"/>
      <c r="AR36" s="539"/>
      <c r="AS36" s="525"/>
      <c r="AT36" s="539"/>
      <c r="AU36" s="525"/>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756"/>
      <c r="AG37" s="525"/>
      <c r="AH37" s="539"/>
      <c r="AI37" s="525"/>
      <c r="AJ37" s="539"/>
      <c r="AK37" s="525"/>
      <c r="AL37" s="539"/>
      <c r="AM37" s="525"/>
      <c r="AN37" s="539"/>
      <c r="AO37" s="525"/>
      <c r="AP37" s="539"/>
      <c r="AQ37" s="525"/>
      <c r="AR37" s="539"/>
      <c r="AS37" s="525"/>
      <c r="AT37" s="539"/>
      <c r="AU37" s="525"/>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c r="AE38" s="525"/>
      <c r="AF38" s="756"/>
      <c r="AG38" s="525"/>
      <c r="AH38" s="550"/>
      <c r="AI38" s="525"/>
      <c r="AJ38" s="550"/>
      <c r="AK38" s="525"/>
      <c r="AL38" s="550"/>
      <c r="AM38" s="525"/>
      <c r="AN38" s="550"/>
      <c r="AO38" s="525"/>
      <c r="AP38" s="550"/>
      <c r="AQ38" s="525"/>
      <c r="AR38" s="550"/>
      <c r="AS38" s="525"/>
      <c r="AT38" s="550"/>
      <c r="AU38" s="525"/>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757"/>
      <c r="AG39" s="751"/>
      <c r="AH39" s="751"/>
      <c r="AI39" s="751"/>
      <c r="AJ39" s="751"/>
      <c r="AK39" s="751"/>
      <c r="AL39" s="751"/>
      <c r="AM39" s="751"/>
      <c r="AN39" s="751"/>
      <c r="AO39" s="751"/>
      <c r="AP39" s="751"/>
      <c r="AQ39" s="751"/>
      <c r="AR39" s="751"/>
      <c r="AS39" s="751"/>
      <c r="AT39" s="751"/>
      <c r="AU39" s="751"/>
      <c r="AV39" s="751"/>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750">
        <v>20.32589827234701</v>
      </c>
      <c r="AG40" s="527"/>
      <c r="AH40" s="750">
        <v>18.348805</v>
      </c>
      <c r="AI40" s="527"/>
      <c r="AJ40" s="750">
        <v>21.202666985960544</v>
      </c>
      <c r="AK40" s="527"/>
      <c r="AL40" s="750">
        <v>20.939215537226776</v>
      </c>
      <c r="AM40" s="527"/>
      <c r="AN40" s="750">
        <v>19.762010999999998</v>
      </c>
      <c r="AO40" s="527"/>
      <c r="AP40" s="750">
        <v>20.841379</v>
      </c>
      <c r="AQ40" s="527"/>
      <c r="AR40" s="750">
        <v>20.864987</v>
      </c>
      <c r="AS40" s="527"/>
      <c r="AT40" s="750">
        <v>18.591065999999998</v>
      </c>
      <c r="AU40" s="527"/>
      <c r="AV40" s="750">
        <v>17.435558</v>
      </c>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ok</v>
      </c>
      <c r="CF40" s="79"/>
      <c r="CG40" s="79" t="str">
        <f t="shared" si="33"/>
        <v>ok</v>
      </c>
      <c r="CH40" s="79"/>
      <c r="CI40" s="79" t="str">
        <f t="shared" si="15"/>
        <v>ok</v>
      </c>
      <c r="CJ40" s="79"/>
      <c r="CK40" s="79" t="str">
        <f t="shared" si="16"/>
        <v>ok</v>
      </c>
      <c r="CL40" s="79"/>
      <c r="CM40" s="79" t="str">
        <f t="shared" si="17"/>
        <v>ok</v>
      </c>
      <c r="CN40" s="79"/>
      <c r="CO40" s="79" t="str">
        <f t="shared" si="18"/>
        <v>ok</v>
      </c>
      <c r="CP40" s="79"/>
      <c r="CQ40" s="79" t="str">
        <f t="shared" si="19"/>
        <v>ok</v>
      </c>
      <c r="CR40" s="79"/>
      <c r="CS40" s="79" t="str">
        <f t="shared" si="20"/>
        <v>ok</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42" t="s">
        <v>195</v>
      </c>
      <c r="E42" s="842"/>
      <c r="F42" s="842"/>
      <c r="G42" s="842"/>
      <c r="H42" s="842"/>
      <c r="I42" s="842"/>
      <c r="J42" s="842"/>
      <c r="K42" s="842"/>
      <c r="L42" s="842"/>
      <c r="M42" s="842"/>
      <c r="N42" s="842"/>
      <c r="O42" s="842"/>
      <c r="P42" s="842"/>
      <c r="Q42" s="842"/>
      <c r="R42" s="842"/>
      <c r="S42" s="842"/>
      <c r="T42" s="842"/>
      <c r="U42" s="842"/>
      <c r="V42" s="842"/>
      <c r="W42" s="842"/>
      <c r="X42" s="842"/>
      <c r="Y42" s="842"/>
      <c r="Z42" s="842"/>
      <c r="AA42" s="842"/>
      <c r="AB42" s="842"/>
      <c r="AC42" s="842"/>
      <c r="AD42" s="842"/>
      <c r="AE42" s="842"/>
      <c r="AF42" s="842"/>
      <c r="AG42" s="842"/>
      <c r="AH42" s="842"/>
      <c r="AI42" s="842"/>
      <c r="AJ42" s="842"/>
      <c r="AK42" s="842"/>
      <c r="AL42" s="842"/>
      <c r="AM42" s="842"/>
      <c r="AN42" s="842"/>
      <c r="AO42" s="842"/>
      <c r="AP42" s="842"/>
      <c r="AQ42" s="842"/>
      <c r="AR42" s="842"/>
      <c r="AS42" s="842"/>
      <c r="AT42" s="842"/>
      <c r="AU42" s="842"/>
      <c r="AV42" s="842"/>
      <c r="AW42" s="842"/>
      <c r="AX42" s="842"/>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42" t="s">
        <v>250</v>
      </c>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2"/>
      <c r="AX43" s="842"/>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71" t="s">
        <v>637</v>
      </c>
      <c r="E44" s="871"/>
      <c r="F44" s="871"/>
      <c r="G44" s="871"/>
      <c r="H44" s="871"/>
      <c r="I44" s="871"/>
      <c r="J44" s="871"/>
      <c r="K44" s="871"/>
      <c r="L44" s="871"/>
      <c r="M44" s="871"/>
      <c r="N44" s="871"/>
      <c r="O44" s="871"/>
      <c r="P44" s="871"/>
      <c r="Q44" s="871"/>
      <c r="R44" s="871"/>
      <c r="S44" s="871"/>
      <c r="T44" s="871"/>
      <c r="U44" s="871"/>
      <c r="V44" s="871"/>
      <c r="W44" s="871"/>
      <c r="X44" s="871"/>
      <c r="Y44" s="871"/>
      <c r="Z44" s="871"/>
      <c r="AA44" s="871"/>
      <c r="AB44" s="871"/>
      <c r="AC44" s="871"/>
      <c r="AD44" s="871"/>
      <c r="AE44" s="871"/>
      <c r="AF44" s="871"/>
      <c r="AG44" s="871"/>
      <c r="AH44" s="871"/>
      <c r="AI44" s="871"/>
      <c r="AJ44" s="871"/>
      <c r="AK44" s="871"/>
      <c r="AL44" s="871"/>
      <c r="AM44" s="871"/>
      <c r="AN44" s="871"/>
      <c r="AO44" s="871"/>
      <c r="AP44" s="871"/>
      <c r="AQ44" s="871"/>
      <c r="AR44" s="871"/>
      <c r="AS44" s="871"/>
      <c r="AT44" s="871"/>
      <c r="AU44" s="871"/>
      <c r="AV44" s="871"/>
      <c r="AW44" s="871"/>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71" t="s">
        <v>623</v>
      </c>
      <c r="E45" s="871"/>
      <c r="F45" s="871"/>
      <c r="G45" s="871"/>
      <c r="H45" s="871"/>
      <c r="I45" s="871"/>
      <c r="J45" s="871"/>
      <c r="K45" s="871"/>
      <c r="L45" s="871"/>
      <c r="M45" s="871"/>
      <c r="N45" s="871"/>
      <c r="O45" s="871"/>
      <c r="P45" s="871"/>
      <c r="Q45" s="871"/>
      <c r="R45" s="871"/>
      <c r="S45" s="871"/>
      <c r="T45" s="871"/>
      <c r="U45" s="871"/>
      <c r="V45" s="871"/>
      <c r="W45" s="871"/>
      <c r="X45" s="871"/>
      <c r="Y45" s="871"/>
      <c r="Z45" s="871"/>
      <c r="AA45" s="871"/>
      <c r="AB45" s="871"/>
      <c r="AC45" s="871"/>
      <c r="AD45" s="871"/>
      <c r="AE45" s="871"/>
      <c r="AF45" s="871"/>
      <c r="AG45" s="871"/>
      <c r="AH45" s="871"/>
      <c r="AI45" s="871"/>
      <c r="AJ45" s="871"/>
      <c r="AK45" s="871"/>
      <c r="AL45" s="871"/>
      <c r="AM45" s="871"/>
      <c r="AN45" s="871"/>
      <c r="AO45" s="871"/>
      <c r="AP45" s="871"/>
      <c r="AQ45" s="871"/>
      <c r="AR45" s="871"/>
      <c r="AS45" s="871"/>
      <c r="AT45" s="871"/>
      <c r="AU45" s="871"/>
      <c r="AV45" s="871"/>
      <c r="AW45" s="871"/>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38" t="s">
        <v>143</v>
      </c>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c r="AI46" s="838"/>
      <c r="AJ46" s="838"/>
      <c r="AK46" s="838"/>
      <c r="AL46" s="838"/>
      <c r="AM46" s="838"/>
      <c r="AN46" s="838"/>
      <c r="AO46" s="838"/>
      <c r="AP46" s="838"/>
      <c r="AQ46" s="838"/>
      <c r="AR46" s="838"/>
      <c r="AS46" s="838"/>
      <c r="AT46" s="838"/>
      <c r="AU46" s="838"/>
      <c r="AV46" s="838"/>
      <c r="AW46" s="838"/>
      <c r="AX46" s="838"/>
      <c r="AY46" s="347"/>
      <c r="AZ46" s="712">
        <v>3</v>
      </c>
      <c r="BA46" s="714" t="s">
        <v>120</v>
      </c>
      <c r="BB46" s="693"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135.37488456183004</v>
      </c>
      <c r="CD46" s="79"/>
      <c r="CE46" s="79">
        <f>AH10</f>
        <v>131.3110855779883</v>
      </c>
      <c r="CF46" s="79"/>
      <c r="CG46" s="79">
        <f>AJ10</f>
        <v>139.94439937775772</v>
      </c>
      <c r="CH46" s="79"/>
      <c r="CI46" s="79">
        <f>AL10</f>
        <v>141.37141837114882</v>
      </c>
      <c r="CJ46" s="79"/>
      <c r="CK46" s="79">
        <f>AN10</f>
        <v>145.2048995749957</v>
      </c>
      <c r="CL46" s="79"/>
      <c r="CM46" s="79">
        <f>AP10</f>
        <v>143.89322244736073</v>
      </c>
      <c r="CN46" s="79"/>
      <c r="CO46" s="79">
        <f>AR10</f>
        <v>156.4614227381008</v>
      </c>
      <c r="CP46" s="79"/>
      <c r="CQ46" s="79">
        <f>AT10</f>
        <v>161.3862719566489</v>
      </c>
      <c r="CR46" s="79"/>
      <c r="CS46" s="79">
        <f>AV10</f>
        <v>159.9935334842084</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42" t="s">
        <v>110</v>
      </c>
      <c r="E47" s="842"/>
      <c r="F47" s="842"/>
      <c r="G47" s="842"/>
      <c r="H47" s="842"/>
      <c r="I47" s="842"/>
      <c r="J47" s="842"/>
      <c r="K47" s="842"/>
      <c r="L47" s="842"/>
      <c r="M47" s="842"/>
      <c r="N47" s="842"/>
      <c r="O47" s="842"/>
      <c r="P47" s="842"/>
      <c r="Q47" s="842"/>
      <c r="R47" s="842"/>
      <c r="S47" s="842"/>
      <c r="T47" s="842"/>
      <c r="U47" s="842"/>
      <c r="V47" s="842"/>
      <c r="W47" s="842"/>
      <c r="X47" s="842"/>
      <c r="Y47" s="842"/>
      <c r="Z47" s="842"/>
      <c r="AA47" s="842"/>
      <c r="AB47" s="842"/>
      <c r="AC47" s="842"/>
      <c r="AD47" s="842"/>
      <c r="AE47" s="842"/>
      <c r="AF47" s="842"/>
      <c r="AG47" s="842"/>
      <c r="AH47" s="842"/>
      <c r="AI47" s="842"/>
      <c r="AJ47" s="842"/>
      <c r="AK47" s="842"/>
      <c r="AL47" s="842"/>
      <c r="AM47" s="842"/>
      <c r="AN47" s="842"/>
      <c r="AO47" s="842"/>
      <c r="AP47" s="842"/>
      <c r="AQ47" s="842"/>
      <c r="AR47" s="842"/>
      <c r="AS47" s="842"/>
      <c r="AT47" s="842"/>
      <c r="AU47" s="842"/>
      <c r="AV47" s="842"/>
      <c r="AW47" s="842"/>
      <c r="AX47" s="842"/>
      <c r="AY47" s="347"/>
      <c r="AZ47" s="715">
        <v>32</v>
      </c>
      <c r="BA47" s="716" t="s">
        <v>223</v>
      </c>
      <c r="BB47" s="693"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135.37488456183004</v>
      </c>
      <c r="CD47" s="82"/>
      <c r="CE47" s="82">
        <f>AH8+AH9</f>
        <v>131.3110855779883</v>
      </c>
      <c r="CF47" s="82"/>
      <c r="CG47" s="82">
        <f>AJ8+AJ9</f>
        <v>139.94439937775772</v>
      </c>
      <c r="CH47" s="82"/>
      <c r="CI47" s="82">
        <f>AL8+AL9</f>
        <v>141.37141837114882</v>
      </c>
      <c r="CJ47" s="82"/>
      <c r="CK47" s="82">
        <f>AN8+AN9</f>
        <v>145.2048995749957</v>
      </c>
      <c r="CL47" s="82"/>
      <c r="CM47" s="82">
        <f>AP8+AP9</f>
        <v>143.89322244736073</v>
      </c>
      <c r="CN47" s="82"/>
      <c r="CO47" s="82">
        <f>AR8+AR9</f>
        <v>156.4614227381008</v>
      </c>
      <c r="CP47" s="82"/>
      <c r="CQ47" s="82">
        <f>AT8+AT9</f>
        <v>161.3862719566489</v>
      </c>
      <c r="CR47" s="82"/>
      <c r="CS47" s="82">
        <f>AV8+AV9</f>
        <v>159.9935334842084</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57"/>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347"/>
      <c r="AZ48" s="717" t="s">
        <v>176</v>
      </c>
      <c r="BA48" s="716" t="s">
        <v>601</v>
      </c>
      <c r="BB48" s="693"/>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ok</v>
      </c>
      <c r="CD48" s="79"/>
      <c r="CE48" s="79" t="str">
        <f>IF(OR(ISBLANK(AH8),ISBLANK(AH9),ISBLANK(AH10)),"N/A",IF((CE46=CE47),"ok","&lt;&gt;"))</f>
        <v>ok</v>
      </c>
      <c r="CF48" s="79"/>
      <c r="CG48" s="79" t="str">
        <f>IF(OR(ISBLANK(AJ8),ISBLANK(AJ9),ISBLANK(AJ10)),"N/A",IF((CG46=CG47),"ok","&lt;&gt;"))</f>
        <v>ok</v>
      </c>
      <c r="CH48" s="79"/>
      <c r="CI48" s="79" t="str">
        <f>IF(OR(ISBLANK(AL8),ISBLANK(AL9),ISBLANK(AL10)),"N/A",IF((CI46=CI47),"ok","&lt;&gt;"))</f>
        <v>ok</v>
      </c>
      <c r="CJ48" s="79"/>
      <c r="CK48" s="79" t="str">
        <f>IF(OR(ISBLANK(AN8),ISBLANK(AN9),ISBLANK(AN10)),"N/A",IF((CK46=CK47),"ok","&lt;&gt;"))</f>
        <v>ok</v>
      </c>
      <c r="CL48" s="79"/>
      <c r="CM48" s="79" t="str">
        <f>IF(OR(ISBLANK(AP8),ISBLANK(AP9),ISBLANK(AP10)),"N/A",IF((CM46=CM47),"ok","&lt;&gt;"))</f>
        <v>ok</v>
      </c>
      <c r="CN48" s="79"/>
      <c r="CO48" s="79" t="str">
        <f>IF(OR(ISBLANK(AR8),ISBLANK(AR9),ISBLANK(AR10)),"N/A",IF((CO46=CO47),"ok","&lt;&gt;"))</f>
        <v>ok</v>
      </c>
      <c r="CP48" s="79"/>
      <c r="CQ48" s="79" t="str">
        <f>IF(OR(ISBLANK(AT8),ISBLANK(AT9),ISBLANK(AT10)),"N/A",IF((CQ46=CQ47),"ok","&lt;&gt;"))</f>
        <v>ok</v>
      </c>
      <c r="CR48" s="79"/>
      <c r="CS48" s="79" t="str">
        <f>IF(OR(ISBLANK(AV8),ISBLANK(AV9),ISBLANK(AV10)),"N/A",IF((CS46=CS47),"ok","&lt;&gt;"))</f>
        <v>ok</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43"/>
      <c r="G49" s="843"/>
      <c r="H49" s="843"/>
      <c r="I49" s="843"/>
      <c r="J49" s="843"/>
      <c r="K49" s="843"/>
      <c r="L49" s="843"/>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131.34208849578485</v>
      </c>
      <c r="CD49" s="82"/>
      <c r="CE49" s="82">
        <f>AH28</f>
        <v>127.29817330215407</v>
      </c>
      <c r="CF49" s="82"/>
      <c r="CG49" s="82">
        <f>AJ28</f>
        <v>135.75027384905528</v>
      </c>
      <c r="CH49" s="82"/>
      <c r="CI49" s="82">
        <f>AL28</f>
        <v>138.9696204415804</v>
      </c>
      <c r="CJ49" s="82"/>
      <c r="CK49" s="82">
        <f>AN28</f>
        <v>141.8394045682734</v>
      </c>
      <c r="CL49" s="82"/>
      <c r="CM49" s="82">
        <f>AP28</f>
        <v>139.47491185095646</v>
      </c>
      <c r="CN49" s="82"/>
      <c r="CO49" s="82">
        <f>AR28</f>
        <v>151.46397533705914</v>
      </c>
      <c r="CP49" s="82"/>
      <c r="CQ49" s="82">
        <f>AT28</f>
        <v>154.8401706349453</v>
      </c>
      <c r="CR49" s="82"/>
      <c r="CS49" s="82">
        <f>AV28</f>
        <v>154.03158225825132</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64" t="str">
        <f>D11&amp;" (W2,4)"</f>
        <v>Water returned without use (W2,4)</v>
      </c>
      <c r="M50" s="866"/>
      <c r="N50" s="866"/>
      <c r="O50" s="866"/>
      <c r="P50" s="86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131.34208849578485</v>
      </c>
      <c r="CD50" s="82"/>
      <c r="CE50" s="82">
        <f>AH12+AH24+AH25+AH26-AH27</f>
        <v>127.29817330215407</v>
      </c>
      <c r="CF50" s="82"/>
      <c r="CG50" s="82">
        <f>AJ12+AJ24+AJ25+AJ26-AJ27</f>
        <v>135.75027384905528</v>
      </c>
      <c r="CH50" s="82"/>
      <c r="CI50" s="82">
        <f>AL12+AL24+AL25+AL26-AL27</f>
        <v>138.9696204415804</v>
      </c>
      <c r="CJ50" s="82"/>
      <c r="CK50" s="82">
        <f>AN12+AN24+AN25+AN26-AN27</f>
        <v>141.8394045682734</v>
      </c>
      <c r="CL50" s="82"/>
      <c r="CM50" s="82">
        <f>AP12+AP24+AP25+AP26-AP27</f>
        <v>139.47491185095646</v>
      </c>
      <c r="CN50" s="82"/>
      <c r="CO50" s="82">
        <f>AR12+AR24+AR25+AR26-AR27</f>
        <v>151.46397533705914</v>
      </c>
      <c r="CP50" s="82"/>
      <c r="CQ50" s="82">
        <f>AT12+AT24+AT25+AT26-AT27</f>
        <v>154.8401706349453</v>
      </c>
      <c r="CR50" s="82"/>
      <c r="CS50" s="82">
        <f>AV12+AV24+AV25+AV26-AV27</f>
        <v>154.03158225825132</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64" t="str">
        <f>LEFT(D12,LEN(D12)-7)&amp;" (W2,5)"</f>
        <v>Net freshwater abstracted (W2,5)</v>
      </c>
      <c r="F51" s="799"/>
      <c r="G51" s="799"/>
      <c r="H51" s="865"/>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43"/>
      <c r="AR51" s="843"/>
      <c r="AS51" s="843"/>
      <c r="AT51" s="843"/>
      <c r="AU51" s="843"/>
      <c r="AV51" s="843"/>
      <c r="AW51" s="843"/>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IF(OR(ISBLANK(J12),ISBLANK(J24),ISBLANK(J25),ISBLANK(J26),ISBLANK(J27),ISBLANK(J28)),"N/A",IF((BG49=BG50),"ok","&lt;&gt;"))</f>
        <v>N/A</v>
      </c>
      <c r="BH51" s="79"/>
      <c r="BI51" s="79" t="str">
        <f>IF(OR(ISBLANK(L12),ISBLANK(L24),ISBLANK(L25),ISBLANK(L26),ISBLANK(L27),ISBLANK(L28)),"N/A",IF((BI49=BI50),"ok","&lt;&gt;"))</f>
        <v>N/A</v>
      </c>
      <c r="BJ51" s="79"/>
      <c r="BK51" s="79" t="str">
        <f>IF(OR(ISBLANK(N12),ISBLANK(N24),ISBLANK(N25),ISBLANK(N26),ISBLANK(N27),ISBLANK(N28)),"N/A",IF((BK49=BK50),"ok","&lt;&gt;"))</f>
        <v>N/A</v>
      </c>
      <c r="BL51" s="79"/>
      <c r="BM51" s="79" t="str">
        <f>IF(OR(ISBLANK(P12),ISBLANK(P24),ISBLANK(P25),ISBLANK(P26),ISBLANK(P27),ISBLANK(P28)),"N/A",IF((BM49=BM50),"ok","&lt;&gt;"))</f>
        <v>N/A</v>
      </c>
      <c r="BN51" s="79"/>
      <c r="BO51" s="79" t="str">
        <f>IF(OR(ISBLANK(R12),ISBLANK(R24),ISBLANK(R25),ISBLANK(R26),ISBLANK(R27),ISBLANK(R28)),"N/A",IF((BO49=BO50),"ok","&lt;&gt;"))</f>
        <v>N/A</v>
      </c>
      <c r="BP51" s="79"/>
      <c r="BQ51" s="79" t="str">
        <f>IF(OR(ISBLANK(T12),ISBLANK(T24),ISBLANK(T25),ISBLANK(T26),ISBLANK(T27),ISBLANK(T28)),"N/A",IF((BQ49=BQ50),"ok","&lt;&gt;"))</f>
        <v>N/A</v>
      </c>
      <c r="BR51" s="79"/>
      <c r="BS51" s="79" t="str">
        <f>IF(OR(ISBLANK(V12),ISBLANK(V24),ISBLANK(V25),ISBLANK(V26),ISBLANK(V27),ISBLANK(V28)),"N/A",IF((BS49=BS50),"ok","&lt;&gt;"))</f>
        <v>N/A</v>
      </c>
      <c r="BT51" s="79"/>
      <c r="BU51" s="79" t="str">
        <f>IF(OR(ISBLANK(X12),ISBLANK(X24),ISBLANK(X25),ISBLANK(X26),ISBLANK(X27),ISBLANK(X28)),"N/A",IF((BU49=BU50),"ok","&lt;&gt;"))</f>
        <v>N/A</v>
      </c>
      <c r="BV51" s="79"/>
      <c r="BW51" s="79" t="str">
        <f>IF(OR(ISBLANK(Z12),ISBLANK(Z24),ISBLANK(Z25),ISBLANK(Z26),ISBLANK(Z27),ISBLANK(Z28)),"N/A",IF((BW49=BW50),"ok","&lt;&gt;"))</f>
        <v>N/A</v>
      </c>
      <c r="BX51" s="79"/>
      <c r="BY51" s="79" t="str">
        <f>IF(OR(ISBLANK(AB12),ISBLANK(AB24),ISBLANK(AB25),ISBLANK(AB26),ISBLANK(AB27),ISBLANK(AB28)),"N/A",IF((BY49=BY50),"ok","&lt;&gt;"))</f>
        <v>N/A</v>
      </c>
      <c r="BZ51" s="79"/>
      <c r="CA51" s="79" t="str">
        <f>IF(OR(ISBLANK(AD12),ISBLANK(AD24),ISBLANK(AD25),ISBLANK(AD26),ISBLANK(AD27),ISBLANK(AD28)),"N/A",IF((CA49=CA50),"ok","&lt;&gt;"))</f>
        <v>N/A</v>
      </c>
      <c r="CB51" s="79"/>
      <c r="CC51" s="79" t="str">
        <f>IF(OR(ISBLANK(AF12),ISBLANK(AF24),ISBLANK(AF25),ISBLANK(AF26),ISBLANK(AF27),ISBLANK(AF28)),"N/A",IF((CC49=CC50),"ok","&lt;&gt;"))</f>
        <v>N/A</v>
      </c>
      <c r="CD51" s="79"/>
      <c r="CE51" s="79" t="str">
        <f>IF(OR(ISBLANK(AH12),ISBLANK(AH24),ISBLANK(AH25),ISBLANK(AH26),ISBLANK(AH27),ISBLANK(AH28)),"N/A",IF((CE49=CE50),"ok","&lt;&gt;"))</f>
        <v>N/A</v>
      </c>
      <c r="CF51" s="79"/>
      <c r="CG51" s="79" t="str">
        <f>IF(OR(ISBLANK(AJ12),ISBLANK(AJ24),ISBLANK(AJ25),ISBLANK(AJ26),ISBLANK(AJ27),ISBLANK(AJ28)),"N/A",IF((CG49=CG50),"ok","&lt;&gt;"))</f>
        <v>N/A</v>
      </c>
      <c r="CH51" s="79"/>
      <c r="CI51" s="79" t="str">
        <f>IF(OR(ISBLANK(AL12),ISBLANK(AL24),ISBLANK(AL25),ISBLANK(AL26),ISBLANK(AL27),ISBLANK(AL28)),"N/A",IF((CI49=CI50),"ok","&lt;&gt;"))</f>
        <v>N/A</v>
      </c>
      <c r="CJ51" s="79"/>
      <c r="CK51" s="79" t="str">
        <f>IF(OR(ISBLANK(AN12),ISBLANK(AN24),ISBLANK(AN25),ISBLANK(AN26),ISBLANK(AN27),ISBLANK(AN28)),"N/A",IF((CK49=CK50),"ok","&lt;&gt;"))</f>
        <v>N/A</v>
      </c>
      <c r="CL51" s="79"/>
      <c r="CM51" s="79" t="str">
        <f>IF(OR(ISBLANK(AP12),ISBLANK(AP24),ISBLANK(AP25),ISBLANK(AP26),ISBLANK(AP27),ISBLANK(AP28)),"N/A",IF((CM49=CM50),"ok","&lt;&gt;"))</f>
        <v>N/A</v>
      </c>
      <c r="CN51" s="79"/>
      <c r="CO51" s="79" t="str">
        <f>IF(OR(ISBLANK(AR12),ISBLANK(AR24),ISBLANK(AR25),ISBLANK(AR26),ISBLANK(AR27),ISBLANK(AR28)),"N/A",IF((CO49=CO50),"ok","&lt;&gt;"))</f>
        <v>N/A</v>
      </c>
      <c r="CP51" s="79"/>
      <c r="CQ51" s="79" t="str">
        <f>IF(OR(ISBLANK(AT12),ISBLANK(AT24),ISBLANK(AT25),ISBLANK(AT26),ISBLANK(AT27),ISBLANK(AT28)),"N/A",IF((CQ49=CQ50),"ok","&lt;&gt;"))</f>
        <v>N/A</v>
      </c>
      <c r="CR51" s="79"/>
      <c r="CS51" s="79" t="str">
        <f>IF(OR(ISBLANK(AV12),ISBLANK(AV24),ISBLANK(AV25),ISBLANK(AV26),ISBLANK(AV27),ISBLANK(AV28)),"N/A",IF((CS49=CS50),"ok","&lt;&gt;"))</f>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43"/>
      <c r="AR52" s="843"/>
      <c r="AS52" s="843"/>
      <c r="AT52" s="843"/>
      <c r="AU52" s="843"/>
      <c r="AV52" s="843"/>
      <c r="AW52" s="843"/>
      <c r="AX52" s="191"/>
      <c r="AZ52" s="696">
        <v>5</v>
      </c>
      <c r="BA52" s="714" t="s">
        <v>615</v>
      </c>
      <c r="BB52" s="69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130.74402904170154</v>
      </c>
      <c r="CD52" s="79"/>
      <c r="CE52" s="79">
        <f>AH12</f>
        <v>126.75273798475264</v>
      </c>
      <c r="CF52" s="79"/>
      <c r="CG52" s="79">
        <f>AJ12</f>
        <v>135.11378937775774</v>
      </c>
      <c r="CH52" s="79"/>
      <c r="CI52" s="79">
        <f>AL12</f>
        <v>138.33509037114882</v>
      </c>
      <c r="CJ52" s="79"/>
      <c r="CK52" s="79">
        <f>AN12</f>
        <v>141.13444347499572</v>
      </c>
      <c r="CL52" s="79"/>
      <c r="CM52" s="79">
        <f>AP12</f>
        <v>138.95817244736074</v>
      </c>
      <c r="CN52" s="79"/>
      <c r="CO52" s="79">
        <f>AR12</f>
        <v>151.13743373810078</v>
      </c>
      <c r="CP52" s="79"/>
      <c r="CQ52" s="79">
        <f>AT12</f>
        <v>154.6131902566489</v>
      </c>
      <c r="CR52" s="79"/>
      <c r="CS52" s="79">
        <f>AV12</f>
        <v>153.8475565842084</v>
      </c>
      <c r="CT52" s="79"/>
    </row>
    <row r="53" spans="3:98" ht="21.75" customHeight="1">
      <c r="C53" s="492"/>
      <c r="D53" s="491" t="str">
        <f>D14&amp;" (W2,6)"</f>
        <v>Water supply industry (ISIC 36) (W2,6)</v>
      </c>
      <c r="E53" s="497"/>
      <c r="F53" s="872" t="str">
        <f>D24&amp;" (W2,16)"</f>
        <v>Desalinated water (W2,16)</v>
      </c>
      <c r="G53" s="873"/>
      <c r="H53" s="874"/>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43"/>
      <c r="AL53" s="887"/>
      <c r="AM53" s="887"/>
      <c r="AN53" s="493"/>
      <c r="AO53" s="493"/>
      <c r="AP53" s="493"/>
      <c r="AQ53" s="557"/>
      <c r="AR53" s="557"/>
      <c r="AS53" s="557"/>
      <c r="AT53" s="557"/>
      <c r="AU53" s="557"/>
      <c r="AV53" s="557"/>
      <c r="AW53" s="557"/>
      <c r="AX53" s="191"/>
      <c r="AZ53" s="715">
        <v>34</v>
      </c>
      <c r="BA53" s="719" t="s">
        <v>606</v>
      </c>
      <c r="BB53" s="693"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135.37488456183004</v>
      </c>
      <c r="CD53" s="82"/>
      <c r="CE53" s="82">
        <f>SUM(AH14:AH16)+SUM(AH18:AH20)+SUM(AH22:AH23)</f>
        <v>131.3111884095337</v>
      </c>
      <c r="CF53" s="82"/>
      <c r="CG53" s="82">
        <f>SUM(AJ14:AJ16)+SUM(AJ18:AJ20)+SUM(AJ22:AJ23)</f>
        <v>139.9447095343877</v>
      </c>
      <c r="CH53" s="82"/>
      <c r="CI53" s="82">
        <f>SUM(AL14:AL16)+SUM(AL18:AL20)+SUM(AL22:AL23)</f>
        <v>141.3711877131159</v>
      </c>
      <c r="CJ53" s="82"/>
      <c r="CK53" s="82">
        <f>SUM(AN14:AN16)+SUM(AN18:AN20)+SUM(AN22:AN23)</f>
        <v>145.2048221897713</v>
      </c>
      <c r="CL53" s="82"/>
      <c r="CM53" s="82">
        <f>SUM(AP14:AP16)+SUM(AP18:AP20)+SUM(AP22:AP23)</f>
        <v>143.89322244736073</v>
      </c>
      <c r="CN53" s="82"/>
      <c r="CO53" s="82">
        <f>SUM(AR14:AR16)+SUM(AR18:AR20)+SUM(AR22:AR23)</f>
        <v>156.4614227381008</v>
      </c>
      <c r="CP53" s="82"/>
      <c r="CQ53" s="82">
        <f>SUM(AT14:AT16)+SUM(AT18:AT20)+SUM(AT22:AT23)</f>
        <v>161.38627195664887</v>
      </c>
      <c r="CR53" s="82"/>
      <c r="CS53" s="82">
        <f>SUM(AV14:AV16)+SUM(AV18:AV20)+SUM(AV22:AV23)</f>
        <v>159.99353348420843</v>
      </c>
      <c r="CT53" s="82"/>
    </row>
    <row r="54" spans="2:98" ht="11.25" customHeight="1">
      <c r="B54" s="489"/>
      <c r="C54" s="498"/>
      <c r="D54" s="499"/>
      <c r="E54" s="493"/>
      <c r="F54" s="884"/>
      <c r="G54" s="885"/>
      <c r="H54" s="886"/>
      <c r="I54" s="493"/>
      <c r="J54" s="493"/>
      <c r="K54" s="493"/>
      <c r="L54" s="493"/>
      <c r="M54" s="493"/>
      <c r="N54" s="493"/>
      <c r="O54" s="493"/>
      <c r="P54" s="493"/>
      <c r="Q54" s="493"/>
      <c r="R54" s="493"/>
      <c r="S54" s="493"/>
      <c r="T54" s="493"/>
      <c r="U54" s="891" t="s">
        <v>514</v>
      </c>
      <c r="V54" s="892"/>
      <c r="W54" s="493"/>
      <c r="X54" s="493"/>
      <c r="Y54" s="493"/>
      <c r="Z54" s="511"/>
      <c r="AK54" s="887"/>
      <c r="AL54" s="887"/>
      <c r="AM54" s="887"/>
      <c r="AN54" s="493"/>
      <c r="AO54" s="493"/>
      <c r="AP54" s="493"/>
      <c r="AQ54" s="843"/>
      <c r="AR54" s="887"/>
      <c r="AS54" s="887"/>
      <c r="AT54" s="887"/>
      <c r="AU54" s="887"/>
      <c r="AV54" s="887"/>
      <c r="AW54" s="887"/>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72" t="str">
        <f>LEFT(D28,LEN(D28)-16)&amp;" (W2,20)"</f>
        <v>Total freshwater available for use  (W2,20)</v>
      </c>
      <c r="M55" s="873"/>
      <c r="N55" s="874"/>
      <c r="O55" s="493"/>
      <c r="P55" s="493"/>
      <c r="Q55" s="872" t="str">
        <f>LEFT(D30,LEN(D30)-8)&amp;" (W2,22)"</f>
        <v>Total freshwater use  (W2,22)</v>
      </c>
      <c r="R55" s="873"/>
      <c r="S55" s="874"/>
      <c r="U55" s="892"/>
      <c r="V55" s="892"/>
      <c r="W55" s="493"/>
      <c r="X55" s="493"/>
      <c r="Y55" s="493"/>
      <c r="Z55" s="511"/>
      <c r="AA55" s="864" t="str">
        <f>D32&amp;" (W2,23)"</f>
        <v>    Households  (W2,23)</v>
      </c>
      <c r="AB55" s="888"/>
      <c r="AC55" s="888"/>
      <c r="AD55" s="888"/>
      <c r="AE55" s="888"/>
      <c r="AF55" s="888"/>
      <c r="AG55" s="888"/>
      <c r="AH55" s="889"/>
      <c r="AI55" s="889"/>
      <c r="AJ55" s="890"/>
      <c r="AK55" s="887"/>
      <c r="AL55" s="887"/>
      <c r="AM55" s="887"/>
      <c r="AN55" s="893"/>
      <c r="AO55" s="894"/>
      <c r="AP55" s="493"/>
      <c r="AQ55" s="887"/>
      <c r="AR55" s="887"/>
      <c r="AS55" s="887"/>
      <c r="AT55" s="887"/>
      <c r="AU55" s="887"/>
      <c r="AV55" s="887"/>
      <c r="AW55" s="887"/>
      <c r="AZ55" s="696">
        <v>22</v>
      </c>
      <c r="BA55" s="714" t="s">
        <v>600</v>
      </c>
      <c r="BB55" s="69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82.75134001591337</v>
      </c>
      <c r="CD55" s="82"/>
      <c r="CE55" s="82">
        <f>AH30</f>
        <v>74.15382589538974</v>
      </c>
      <c r="CF55" s="82"/>
      <c r="CG55" s="82">
        <f>AJ30</f>
        <v>85.06372484905526</v>
      </c>
      <c r="CH55" s="82"/>
      <c r="CI55" s="82">
        <f>AL30</f>
        <v>83.53505744158039</v>
      </c>
      <c r="CJ55" s="82"/>
      <c r="CK55" s="82">
        <f>AN30</f>
        <v>87.93819166827342</v>
      </c>
      <c r="CL55" s="82"/>
      <c r="CM55" s="82">
        <f>AP30</f>
        <v>90.95986485095644</v>
      </c>
      <c r="CN55" s="82"/>
      <c r="CO55" s="82">
        <f>AR30</f>
        <v>91.9346427370592</v>
      </c>
      <c r="CP55" s="82"/>
      <c r="CQ55" s="82">
        <f>AT30</f>
        <v>88.48926963494532</v>
      </c>
      <c r="CR55" s="82"/>
      <c r="CS55" s="82">
        <f>AV30</f>
        <v>88.90260804625129</v>
      </c>
      <c r="CT55" s="82"/>
    </row>
    <row r="56" spans="3:98" ht="15" customHeight="1">
      <c r="C56" s="498"/>
      <c r="D56" s="500"/>
      <c r="E56" s="493"/>
      <c r="F56" s="493"/>
      <c r="G56" s="493"/>
      <c r="H56" s="493"/>
      <c r="I56" s="493"/>
      <c r="J56" s="493"/>
      <c r="K56" s="493"/>
      <c r="L56" s="875"/>
      <c r="M56" s="876"/>
      <c r="N56" s="877"/>
      <c r="O56" s="493"/>
      <c r="P56" s="493"/>
      <c r="Q56" s="875"/>
      <c r="R56" s="876"/>
      <c r="S56" s="877"/>
      <c r="T56" s="493"/>
      <c r="U56" s="493"/>
      <c r="V56" s="493"/>
      <c r="W56" s="493"/>
      <c r="X56" s="493"/>
      <c r="Y56" s="493"/>
      <c r="Z56" s="495"/>
      <c r="AK56" s="887"/>
      <c r="AL56" s="887"/>
      <c r="AM56" s="887"/>
      <c r="AN56" s="895"/>
      <c r="AO56" s="894"/>
      <c r="AP56" s="493"/>
      <c r="AQ56" s="495"/>
      <c r="AR56" s="495"/>
      <c r="AS56" s="495"/>
      <c r="AT56" s="495"/>
      <c r="AU56" s="495"/>
      <c r="AV56" s="495"/>
      <c r="AW56" s="495"/>
      <c r="AZ56" s="715">
        <v>35</v>
      </c>
      <c r="BA56" s="716" t="s">
        <v>605</v>
      </c>
      <c r="BB56" s="693"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82.75134001591337</v>
      </c>
      <c r="CD56" s="79"/>
      <c r="CE56" s="79">
        <f>AH28-AH29</f>
        <v>74.15382589538974</v>
      </c>
      <c r="CF56" s="79"/>
      <c r="CG56" s="79">
        <f>AJ28-AJ29</f>
        <v>85.06372484905526</v>
      </c>
      <c r="CH56" s="79"/>
      <c r="CI56" s="79">
        <f>AL28-AL29</f>
        <v>83.53505744158039</v>
      </c>
      <c r="CJ56" s="79"/>
      <c r="CK56" s="79">
        <f>AN28-AN29</f>
        <v>87.93819166827342</v>
      </c>
      <c r="CL56" s="79"/>
      <c r="CM56" s="79">
        <f>AP28-AP29</f>
        <v>90.95986485095644</v>
      </c>
      <c r="CN56" s="79"/>
      <c r="CO56" s="79">
        <f>AR28-AR29</f>
        <v>91.9346427370592</v>
      </c>
      <c r="CP56" s="79"/>
      <c r="CQ56" s="79">
        <f>AT28-AT29</f>
        <v>88.48926963494532</v>
      </c>
      <c r="CR56" s="79"/>
      <c r="CS56" s="79">
        <f>AV28-AV29</f>
        <v>88.90260804625129</v>
      </c>
      <c r="CT56" s="79"/>
    </row>
    <row r="57" spans="3:98" ht="21.75" customHeight="1">
      <c r="C57" s="498"/>
      <c r="D57" s="491" t="str">
        <f>D16&amp;" (W2,8)"</f>
        <v>Agriculture, forestry and fishing (ISIC 01-03) (W2,8)</v>
      </c>
      <c r="E57" s="493"/>
      <c r="F57" s="864" t="str">
        <f>D25&amp;" (W2,17)"</f>
        <v>Reused water (W2,17)</v>
      </c>
      <c r="G57" s="799"/>
      <c r="H57" s="800"/>
      <c r="I57" s="493"/>
      <c r="J57" s="493"/>
      <c r="K57" s="493"/>
      <c r="L57" s="875"/>
      <c r="M57" s="876"/>
      <c r="N57" s="877"/>
      <c r="O57" s="493"/>
      <c r="P57" s="493"/>
      <c r="Q57" s="875"/>
      <c r="R57" s="876"/>
      <c r="S57" s="877"/>
      <c r="T57" s="493"/>
      <c r="U57" s="493"/>
      <c r="V57" s="493"/>
      <c r="W57" s="493"/>
      <c r="X57" s="493"/>
      <c r="Y57" s="493"/>
      <c r="Z57" s="253"/>
      <c r="AA57" s="881" t="str">
        <f>D33&amp;" (W2,24)"</f>
        <v>Agriculture, forestry and fishing (ISIC 01-03) (W2,24)</v>
      </c>
      <c r="AB57" s="799"/>
      <c r="AC57" s="799"/>
      <c r="AD57" s="799"/>
      <c r="AE57" s="799"/>
      <c r="AF57" s="799"/>
      <c r="AG57" s="799"/>
      <c r="AH57" s="882"/>
      <c r="AI57" s="882"/>
      <c r="AJ57" s="883"/>
      <c r="AK57" s="887"/>
      <c r="AL57" s="887"/>
      <c r="AM57" s="887"/>
      <c r="AN57" s="501"/>
      <c r="AO57" s="502"/>
      <c r="AP57" s="493"/>
      <c r="AQ57" s="843"/>
      <c r="AR57" s="843"/>
      <c r="AS57" s="843"/>
      <c r="AT57" s="843"/>
      <c r="AU57" s="843"/>
      <c r="AV57" s="843"/>
      <c r="AW57" s="843"/>
      <c r="AZ57" s="720" t="s">
        <v>176</v>
      </c>
      <c r="BA57" s="721" t="s">
        <v>604</v>
      </c>
      <c r="BB57" s="72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ok</v>
      </c>
      <c r="CD57" s="80"/>
      <c r="CE57" s="80" t="str">
        <f>IF(OR(ISBLANK(AH28),ISBLANK(AH29),ISBLANK(AH30)),"N/A",IF(CE55=CE56,"ok","&lt;&gt;"))</f>
        <v>ok</v>
      </c>
      <c r="CF57" s="80"/>
      <c r="CG57" s="80" t="str">
        <f>IF(OR(ISBLANK(AJ28),ISBLANK(AJ29),ISBLANK(AJ30)),"N/A",IF(CG55=CG56,"ok","&lt;&gt;"))</f>
        <v>ok</v>
      </c>
      <c r="CH57" s="80"/>
      <c r="CI57" s="80" t="str">
        <f>IF(OR(ISBLANK(AL28),ISBLANK(AL29),ISBLANK(AL30)),"N/A",IF(CI55=CI56,"ok","&lt;&gt;"))</f>
        <v>ok</v>
      </c>
      <c r="CJ57" s="80"/>
      <c r="CK57" s="80" t="str">
        <f>IF(OR(ISBLANK(AN28),ISBLANK(AN29),ISBLANK(AN30)),"N/A",IF(CK55=CK56,"ok","&lt;&gt;"))</f>
        <v>ok</v>
      </c>
      <c r="CL57" s="80"/>
      <c r="CM57" s="80" t="str">
        <f>IF(OR(ISBLANK(AP28),ISBLANK(AP29),ISBLANK(AP30)),"N/A",IF(CM55=CM56,"ok","&lt;&gt;"))</f>
        <v>ok</v>
      </c>
      <c r="CN57" s="80"/>
      <c r="CO57" s="80" t="str">
        <f>IF(OR(ISBLANK(AR28),ISBLANK(AR29),ISBLANK(AR30)),"N/A",IF(CO55=CO56,"ok","&lt;&gt;"))</f>
        <v>ok</v>
      </c>
      <c r="CP57" s="80"/>
      <c r="CQ57" s="80" t="str">
        <f>IF(OR(ISBLANK(AT28),ISBLANK(AT29),ISBLANK(AT30)),"N/A",IF(CQ55=CQ56,"ok","&lt;&gt;"))</f>
        <v>ok</v>
      </c>
      <c r="CR57" s="80"/>
      <c r="CS57" s="80" t="str">
        <f>IF(OR(ISBLANK(AV28),ISBLANK(AV29),ISBLANK(AV30)),"N/A",IF(CS55=CS56,"ok","&lt;&gt;"))</f>
        <v>ok</v>
      </c>
      <c r="CT57" s="80"/>
    </row>
    <row r="58" spans="3:98" ht="10.5" customHeight="1">
      <c r="C58" s="498"/>
      <c r="D58" s="503"/>
      <c r="E58" s="493"/>
      <c r="F58" s="493"/>
      <c r="G58" s="493"/>
      <c r="H58" s="493"/>
      <c r="I58" s="493"/>
      <c r="J58" s="493"/>
      <c r="K58" s="493"/>
      <c r="L58" s="875"/>
      <c r="M58" s="876"/>
      <c r="N58" s="877"/>
      <c r="O58" s="493"/>
      <c r="P58" s="493"/>
      <c r="Q58" s="875"/>
      <c r="R58" s="876"/>
      <c r="S58" s="877"/>
      <c r="T58" s="493"/>
      <c r="U58" s="493"/>
      <c r="V58" s="493"/>
      <c r="W58" s="493"/>
      <c r="X58" s="493"/>
      <c r="Y58" s="493"/>
      <c r="Z58" s="495"/>
      <c r="AA58" s="493"/>
      <c r="AB58" s="493"/>
      <c r="AC58" s="493"/>
      <c r="AD58" s="493"/>
      <c r="AE58" s="493"/>
      <c r="AF58" s="493"/>
      <c r="AG58" s="493"/>
      <c r="AH58" s="493"/>
      <c r="AI58" s="493"/>
      <c r="AJ58" s="493"/>
      <c r="AK58" s="887"/>
      <c r="AL58" s="887"/>
      <c r="AM58" s="887"/>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75"/>
      <c r="M59" s="876"/>
      <c r="N59" s="877"/>
      <c r="O59" s="493"/>
      <c r="P59" s="493"/>
      <c r="Q59" s="875"/>
      <c r="R59" s="876"/>
      <c r="S59" s="877"/>
      <c r="T59" s="493"/>
      <c r="U59" s="493"/>
      <c r="V59" s="493"/>
      <c r="W59" s="493"/>
      <c r="X59" s="493"/>
      <c r="Y59" s="493"/>
      <c r="Z59" s="495"/>
      <c r="AA59" s="881" t="str">
        <f>D35&amp;" (W2,26)"</f>
        <v>Mining and quarrying (ISIC 05-09) (W2,26)</v>
      </c>
      <c r="AB59" s="799"/>
      <c r="AC59" s="799"/>
      <c r="AD59" s="799"/>
      <c r="AE59" s="799"/>
      <c r="AF59" s="799"/>
      <c r="AG59" s="799"/>
      <c r="AH59" s="882"/>
      <c r="AI59" s="882"/>
      <c r="AJ59" s="883"/>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75"/>
      <c r="M60" s="876"/>
      <c r="N60" s="877"/>
      <c r="O60" s="493"/>
      <c r="P60" s="493"/>
      <c r="Q60" s="875"/>
      <c r="R60" s="876"/>
      <c r="S60" s="877"/>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75"/>
      <c r="M61" s="876"/>
      <c r="N61" s="877"/>
      <c r="O61" s="493"/>
      <c r="P61" s="493"/>
      <c r="Q61" s="875"/>
      <c r="R61" s="876"/>
      <c r="S61" s="877"/>
      <c r="T61" s="493"/>
      <c r="U61" s="493"/>
      <c r="V61" s="493"/>
      <c r="W61" s="493"/>
      <c r="X61" s="493"/>
      <c r="Y61" s="493"/>
      <c r="Z61" s="495"/>
      <c r="AA61" s="881" t="str">
        <f>D36&amp;" (W2,27)"</f>
        <v>Manufacturing (ISIC 10-33) (W2,27)</v>
      </c>
      <c r="AB61" s="799"/>
      <c r="AC61" s="799"/>
      <c r="AD61" s="799"/>
      <c r="AE61" s="799"/>
      <c r="AF61" s="799"/>
      <c r="AG61" s="799"/>
      <c r="AH61" s="882"/>
      <c r="AI61" s="882"/>
      <c r="AJ61" s="883"/>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75"/>
      <c r="M62" s="876"/>
      <c r="N62" s="877"/>
      <c r="O62" s="493"/>
      <c r="P62" s="493"/>
      <c r="Q62" s="875"/>
      <c r="R62" s="876"/>
      <c r="S62" s="877"/>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84"/>
      <c r="M63" s="885"/>
      <c r="N63" s="886"/>
      <c r="O63" s="493"/>
      <c r="P63" s="493"/>
      <c r="Q63" s="884"/>
      <c r="R63" s="885"/>
      <c r="S63" s="886"/>
      <c r="T63" s="493"/>
      <c r="U63" s="493"/>
      <c r="V63" s="493"/>
      <c r="W63" s="493"/>
      <c r="X63" s="496"/>
      <c r="Y63" s="253"/>
      <c r="Z63" s="253"/>
      <c r="AA63" s="881" t="str">
        <f>D37&amp;" (W2,28)"</f>
        <v>Electricity, gas, steam and air conditioning supply  (ISIC 35) (W2,28)</v>
      </c>
      <c r="AB63" s="799"/>
      <c r="AC63" s="799"/>
      <c r="AD63" s="799"/>
      <c r="AE63" s="799"/>
      <c r="AF63" s="799"/>
      <c r="AG63" s="799"/>
      <c r="AH63" s="882"/>
      <c r="AI63" s="882"/>
      <c r="AJ63" s="883"/>
      <c r="AK63" s="495"/>
      <c r="AL63" s="495"/>
      <c r="AM63" s="495"/>
      <c r="AN63" s="493"/>
      <c r="AO63" s="493"/>
      <c r="AP63" s="493"/>
      <c r="AQ63" s="843"/>
      <c r="AR63" s="843"/>
      <c r="AS63" s="843"/>
      <c r="AT63" s="843"/>
      <c r="AU63" s="843"/>
      <c r="AV63" s="843"/>
      <c r="AW63" s="843"/>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72" t="str">
        <f>D26&amp;" - "&amp;D27&amp;"  =(W2,18) - (W2,19)"</f>
        <v>Imports of water - Exports of water  =(W2,18) - (W2,19)</v>
      </c>
      <c r="G64" s="873"/>
      <c r="H64" s="874"/>
      <c r="I64" s="493"/>
      <c r="J64" s="493"/>
      <c r="K64" s="493"/>
      <c r="L64" s="493"/>
      <c r="M64" s="493"/>
      <c r="N64" s="493"/>
      <c r="O64" s="493"/>
      <c r="P64" s="493"/>
      <c r="Q64" s="493"/>
      <c r="R64" s="493"/>
      <c r="S64" s="493"/>
      <c r="T64" s="493"/>
      <c r="U64" s="493"/>
      <c r="V64" s="493"/>
      <c r="W64" s="493"/>
      <c r="X64" s="496"/>
      <c r="Y64" s="253"/>
      <c r="Z64" s="556"/>
      <c r="AB64" s="843"/>
      <c r="AC64" s="843"/>
      <c r="AD64" s="843"/>
      <c r="AE64" s="843"/>
      <c r="AF64" s="843"/>
      <c r="AG64" s="843"/>
      <c r="AH64" s="843"/>
      <c r="AI64" s="843"/>
      <c r="AJ64" s="843"/>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75"/>
      <c r="G65" s="876"/>
      <c r="H65" s="877"/>
      <c r="I65" s="493"/>
      <c r="J65" s="493"/>
      <c r="K65" s="493"/>
      <c r="L65" s="493"/>
      <c r="M65" s="493"/>
      <c r="N65" s="872" t="str">
        <f>D29&amp;" (W2,21)"</f>
        <v>Losses during transport (W2,21)</v>
      </c>
      <c r="O65" s="873"/>
      <c r="P65" s="874"/>
      <c r="Q65" s="493"/>
      <c r="R65" s="493"/>
      <c r="S65" s="493"/>
      <c r="T65" s="493"/>
      <c r="U65" s="493"/>
      <c r="V65" s="493"/>
      <c r="W65" s="493"/>
      <c r="X65" s="496"/>
      <c r="Y65" s="253"/>
      <c r="Z65" s="556"/>
      <c r="AA65" s="881" t="str">
        <f>D39&amp;" (W2,30)"</f>
        <v>Construction (ISIC 41-43) (W2,30)</v>
      </c>
      <c r="AB65" s="799"/>
      <c r="AC65" s="799"/>
      <c r="AD65" s="799"/>
      <c r="AE65" s="799"/>
      <c r="AF65" s="799"/>
      <c r="AG65" s="799"/>
      <c r="AH65" s="882"/>
      <c r="AI65" s="882"/>
      <c r="AJ65" s="883"/>
      <c r="AK65" s="253"/>
      <c r="AL65" s="253"/>
      <c r="AM65" s="495"/>
      <c r="AN65" s="493"/>
      <c r="AO65" s="493"/>
      <c r="AP65" s="493"/>
      <c r="AQ65" s="843"/>
      <c r="AR65" s="843"/>
      <c r="AS65" s="843"/>
      <c r="AT65" s="843"/>
      <c r="AU65" s="843"/>
      <c r="AV65" s="843"/>
      <c r="AW65" s="843"/>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78"/>
      <c r="G66" s="879"/>
      <c r="H66" s="880"/>
      <c r="I66" s="493"/>
      <c r="J66" s="493"/>
      <c r="K66" s="493"/>
      <c r="L66" s="493"/>
      <c r="M66" s="493"/>
      <c r="N66" s="884"/>
      <c r="O66" s="885"/>
      <c r="P66" s="886"/>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81" t="str">
        <f>D40&amp;" (W2,31)"</f>
        <v>Other economic activities (W2,31)</v>
      </c>
      <c r="AB67" s="799"/>
      <c r="AC67" s="799"/>
      <c r="AD67" s="799"/>
      <c r="AE67" s="799"/>
      <c r="AF67" s="799"/>
      <c r="AG67" s="799"/>
      <c r="AH67" s="882"/>
      <c r="AI67" s="882"/>
      <c r="AJ67" s="883"/>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3:99" ht="18" customHeight="1">
      <c r="C71" s="484"/>
      <c r="D71" s="839"/>
      <c r="E71" s="840"/>
      <c r="F71" s="840"/>
      <c r="G71" s="840"/>
      <c r="H71" s="840"/>
      <c r="I71" s="840"/>
      <c r="J71" s="840"/>
      <c r="K71" s="840"/>
      <c r="L71" s="840"/>
      <c r="M71" s="840"/>
      <c r="N71" s="840"/>
      <c r="O71" s="840"/>
      <c r="P71" s="840"/>
      <c r="Q71" s="840"/>
      <c r="R71" s="840"/>
      <c r="S71" s="840"/>
      <c r="T71" s="840"/>
      <c r="U71" s="840"/>
      <c r="V71" s="840"/>
      <c r="W71" s="840"/>
      <c r="X71" s="840"/>
      <c r="Y71" s="840"/>
      <c r="Z71" s="840"/>
      <c r="AA71" s="840"/>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3:99" ht="18" customHeight="1">
      <c r="C72" s="484"/>
      <c r="D72" s="851"/>
      <c r="E72" s="852"/>
      <c r="F72" s="852"/>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3:99" ht="18" customHeight="1">
      <c r="C73" s="484"/>
      <c r="D73" s="851"/>
      <c r="E73" s="852"/>
      <c r="F73" s="852"/>
      <c r="G73" s="852"/>
      <c r="H73" s="852"/>
      <c r="I73" s="852"/>
      <c r="J73" s="852"/>
      <c r="K73" s="852"/>
      <c r="L73" s="852"/>
      <c r="M73" s="852"/>
      <c r="N73" s="852"/>
      <c r="O73" s="852"/>
      <c r="P73" s="852"/>
      <c r="Q73" s="852"/>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51"/>
      <c r="E74" s="852"/>
      <c r="F74" s="852"/>
      <c r="G74" s="852"/>
      <c r="H74" s="852"/>
      <c r="I74" s="852"/>
      <c r="J74" s="852"/>
      <c r="K74" s="852"/>
      <c r="L74" s="852"/>
      <c r="M74" s="852"/>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51"/>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2"/>
      <c r="AR75" s="852"/>
      <c r="AS75" s="852"/>
      <c r="AT75" s="852"/>
      <c r="AU75" s="852"/>
      <c r="AV75" s="852"/>
      <c r="AW75" s="852"/>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51"/>
      <c r="E76" s="852"/>
      <c r="F76" s="852"/>
      <c r="G76" s="852"/>
      <c r="H76" s="852"/>
      <c r="I76" s="852"/>
      <c r="J76" s="852"/>
      <c r="K76" s="852"/>
      <c r="L76" s="852"/>
      <c r="M76" s="852"/>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2"/>
      <c r="AN76" s="852"/>
      <c r="AO76" s="852"/>
      <c r="AP76" s="852"/>
      <c r="AQ76" s="852"/>
      <c r="AR76" s="852"/>
      <c r="AS76" s="852"/>
      <c r="AT76" s="852"/>
      <c r="AU76" s="852"/>
      <c r="AV76" s="852"/>
      <c r="AW76" s="852"/>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51"/>
      <c r="E77" s="852"/>
      <c r="F77" s="852"/>
      <c r="G77" s="852"/>
      <c r="H77" s="852"/>
      <c r="I77" s="852"/>
      <c r="J77" s="852"/>
      <c r="K77" s="852"/>
      <c r="L77" s="852"/>
      <c r="M77" s="852"/>
      <c r="N77" s="852"/>
      <c r="O77" s="852"/>
      <c r="P77" s="852"/>
      <c r="Q77" s="852"/>
      <c r="R77" s="852"/>
      <c r="S77" s="852"/>
      <c r="T77" s="852"/>
      <c r="U77" s="852"/>
      <c r="V77" s="852"/>
      <c r="W77" s="852"/>
      <c r="X77" s="852"/>
      <c r="Y77" s="852"/>
      <c r="Z77" s="852"/>
      <c r="AA77" s="852"/>
      <c r="AB77" s="852"/>
      <c r="AC77" s="852"/>
      <c r="AD77" s="852"/>
      <c r="AE77" s="852"/>
      <c r="AF77" s="852"/>
      <c r="AG77" s="852"/>
      <c r="AH77" s="852"/>
      <c r="AI77" s="852"/>
      <c r="AJ77" s="852"/>
      <c r="AK77" s="852"/>
      <c r="AL77" s="852"/>
      <c r="AM77" s="852"/>
      <c r="AN77" s="852"/>
      <c r="AO77" s="852"/>
      <c r="AP77" s="852"/>
      <c r="AQ77" s="852"/>
      <c r="AR77" s="852"/>
      <c r="AS77" s="852"/>
      <c r="AT77" s="852"/>
      <c r="AU77" s="852"/>
      <c r="AV77" s="852"/>
      <c r="AW77" s="852"/>
      <c r="AX77" s="585"/>
      <c r="CU77" s="270"/>
    </row>
    <row r="78" spans="3:99" ht="18" customHeight="1">
      <c r="C78" s="484"/>
      <c r="D78" s="851"/>
      <c r="E78" s="852"/>
      <c r="F78" s="852"/>
      <c r="G78" s="852"/>
      <c r="H78" s="852"/>
      <c r="I78" s="852"/>
      <c r="J78" s="852"/>
      <c r="K78" s="852"/>
      <c r="L78" s="852"/>
      <c r="M78" s="852"/>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585"/>
      <c r="CU78" s="270"/>
    </row>
    <row r="79" spans="3:99" ht="18" customHeight="1">
      <c r="C79" s="484"/>
      <c r="D79" s="851"/>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585"/>
      <c r="CU79" s="270"/>
    </row>
    <row r="80" spans="3:99" ht="18" customHeight="1">
      <c r="C80" s="484"/>
      <c r="D80" s="851"/>
      <c r="E80" s="852"/>
      <c r="F80" s="852"/>
      <c r="G80" s="852"/>
      <c r="H80" s="852"/>
      <c r="I80" s="852"/>
      <c r="J80" s="852"/>
      <c r="K80" s="852"/>
      <c r="L80" s="852"/>
      <c r="M80" s="852"/>
      <c r="N80" s="852"/>
      <c r="O80" s="852"/>
      <c r="P80" s="852"/>
      <c r="Q80" s="852"/>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585"/>
      <c r="CU80" s="270"/>
    </row>
    <row r="81" spans="3:99" ht="18" customHeight="1">
      <c r="C81" s="484"/>
      <c r="D81" s="851"/>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585"/>
      <c r="CU81" s="270"/>
    </row>
    <row r="82" spans="3:99" ht="18" customHeight="1">
      <c r="C82" s="484"/>
      <c r="D82" s="851"/>
      <c r="E82" s="852"/>
      <c r="F82" s="852"/>
      <c r="G82" s="852"/>
      <c r="H82" s="852"/>
      <c r="I82" s="852"/>
      <c r="J82" s="852"/>
      <c r="K82" s="852"/>
      <c r="L82" s="852"/>
      <c r="M82" s="852"/>
      <c r="N82" s="852"/>
      <c r="O82" s="852"/>
      <c r="P82" s="852"/>
      <c r="Q82" s="852"/>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585"/>
      <c r="CU82" s="270"/>
    </row>
    <row r="83" spans="3:99" ht="18" customHeight="1">
      <c r="C83" s="484"/>
      <c r="D83" s="851"/>
      <c r="E83" s="852"/>
      <c r="F83" s="852"/>
      <c r="G83" s="852"/>
      <c r="H83" s="852"/>
      <c r="I83" s="852"/>
      <c r="J83" s="852"/>
      <c r="K83" s="852"/>
      <c r="L83" s="852"/>
      <c r="M83" s="852"/>
      <c r="N83" s="852"/>
      <c r="O83" s="852"/>
      <c r="P83" s="852"/>
      <c r="Q83" s="852"/>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585"/>
      <c r="CU83" s="270"/>
    </row>
    <row r="84" spans="2:99" ht="18" customHeight="1">
      <c r="B84" s="367"/>
      <c r="C84" s="484"/>
      <c r="D84" s="851"/>
      <c r="E84" s="852"/>
      <c r="F84" s="852"/>
      <c r="G84" s="852"/>
      <c r="H84" s="852"/>
      <c r="I84" s="852"/>
      <c r="J84" s="852"/>
      <c r="K84" s="852"/>
      <c r="L84" s="852"/>
      <c r="M84" s="852"/>
      <c r="N84" s="852"/>
      <c r="O84" s="852"/>
      <c r="P84" s="852"/>
      <c r="Q84" s="852"/>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585"/>
      <c r="CU84" s="270"/>
    </row>
    <row r="85" spans="3:99" ht="18" customHeight="1">
      <c r="C85" s="484"/>
      <c r="D85" s="851"/>
      <c r="E85" s="852"/>
      <c r="F85" s="852"/>
      <c r="G85" s="852"/>
      <c r="H85" s="852"/>
      <c r="I85" s="852"/>
      <c r="J85" s="852"/>
      <c r="K85" s="852"/>
      <c r="L85" s="852"/>
      <c r="M85" s="852"/>
      <c r="N85" s="852"/>
      <c r="O85" s="852"/>
      <c r="P85" s="852"/>
      <c r="Q85" s="852"/>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585"/>
      <c r="CU85" s="270"/>
    </row>
    <row r="86" spans="3:99" ht="18" customHeight="1">
      <c r="C86" s="484"/>
      <c r="D86" s="851"/>
      <c r="E86" s="852"/>
      <c r="F86" s="852"/>
      <c r="G86" s="852"/>
      <c r="H86" s="852"/>
      <c r="I86" s="852"/>
      <c r="J86" s="852"/>
      <c r="K86" s="852"/>
      <c r="L86" s="852"/>
      <c r="M86" s="852"/>
      <c r="N86" s="852"/>
      <c r="O86" s="852"/>
      <c r="P86" s="852"/>
      <c r="Q86" s="852"/>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585"/>
      <c r="CU86" s="270"/>
    </row>
    <row r="87" spans="3:99" ht="18" customHeight="1">
      <c r="C87" s="484"/>
      <c r="D87" s="851"/>
      <c r="E87" s="852"/>
      <c r="F87" s="852"/>
      <c r="G87" s="852"/>
      <c r="H87" s="852"/>
      <c r="I87" s="852"/>
      <c r="J87" s="852"/>
      <c r="K87" s="852"/>
      <c r="L87" s="852"/>
      <c r="M87" s="852"/>
      <c r="N87" s="852"/>
      <c r="O87" s="852"/>
      <c r="P87" s="852"/>
      <c r="Q87" s="852"/>
      <c r="R87" s="852"/>
      <c r="S87" s="852"/>
      <c r="T87" s="852"/>
      <c r="U87" s="852"/>
      <c r="V87" s="852"/>
      <c r="W87" s="852"/>
      <c r="X87" s="852"/>
      <c r="Y87" s="852"/>
      <c r="Z87" s="852"/>
      <c r="AA87" s="852"/>
      <c r="AB87" s="852"/>
      <c r="AC87" s="852"/>
      <c r="AD87" s="852"/>
      <c r="AE87" s="852"/>
      <c r="AF87" s="852"/>
      <c r="AG87" s="852"/>
      <c r="AH87" s="852"/>
      <c r="AI87" s="852"/>
      <c r="AJ87" s="852"/>
      <c r="AK87" s="852"/>
      <c r="AL87" s="852"/>
      <c r="AM87" s="852"/>
      <c r="AN87" s="852"/>
      <c r="AO87" s="852"/>
      <c r="AP87" s="852"/>
      <c r="AQ87" s="852"/>
      <c r="AR87" s="852"/>
      <c r="AS87" s="852"/>
      <c r="AT87" s="852"/>
      <c r="AU87" s="852"/>
      <c r="AV87" s="852"/>
      <c r="AW87" s="852"/>
      <c r="AX87" s="585"/>
      <c r="CU87" s="270"/>
    </row>
    <row r="88" spans="3:50" ht="18" customHeight="1">
      <c r="C88" s="484"/>
      <c r="D88" s="851"/>
      <c r="E88" s="852"/>
      <c r="F88" s="852"/>
      <c r="G88" s="852"/>
      <c r="H88" s="852"/>
      <c r="I88" s="852"/>
      <c r="J88" s="852"/>
      <c r="K88" s="852"/>
      <c r="L88" s="852"/>
      <c r="M88" s="852"/>
      <c r="N88" s="852"/>
      <c r="O88" s="852"/>
      <c r="P88" s="852"/>
      <c r="Q88" s="852"/>
      <c r="R88" s="852"/>
      <c r="S88" s="852"/>
      <c r="T88" s="852"/>
      <c r="U88" s="852"/>
      <c r="V88" s="852"/>
      <c r="W88" s="852"/>
      <c r="X88" s="852"/>
      <c r="Y88" s="852"/>
      <c r="Z88" s="852"/>
      <c r="AA88" s="852"/>
      <c r="AB88" s="852"/>
      <c r="AC88" s="852"/>
      <c r="AD88" s="852"/>
      <c r="AE88" s="852"/>
      <c r="AF88" s="852"/>
      <c r="AG88" s="852"/>
      <c r="AH88" s="852"/>
      <c r="AI88" s="852"/>
      <c r="AJ88" s="852"/>
      <c r="AK88" s="852"/>
      <c r="AL88" s="852"/>
      <c r="AM88" s="852"/>
      <c r="AN88" s="852"/>
      <c r="AO88" s="852"/>
      <c r="AP88" s="852"/>
      <c r="AQ88" s="852"/>
      <c r="AR88" s="852"/>
      <c r="AS88" s="852"/>
      <c r="AT88" s="852"/>
      <c r="AU88" s="852"/>
      <c r="AV88" s="852"/>
      <c r="AW88" s="852"/>
      <c r="AX88" s="585"/>
    </row>
    <row r="89" spans="3:50" ht="18" customHeight="1">
      <c r="C89" s="484"/>
      <c r="D89" s="851"/>
      <c r="E89" s="852"/>
      <c r="F89" s="852"/>
      <c r="G89" s="852"/>
      <c r="H89" s="852"/>
      <c r="I89" s="852"/>
      <c r="J89" s="852"/>
      <c r="K89" s="852"/>
      <c r="L89" s="852"/>
      <c r="M89" s="852"/>
      <c r="N89" s="852"/>
      <c r="O89" s="852"/>
      <c r="P89" s="852"/>
      <c r="Q89" s="852"/>
      <c r="R89" s="852"/>
      <c r="S89" s="852"/>
      <c r="T89" s="852"/>
      <c r="U89" s="852"/>
      <c r="V89" s="852"/>
      <c r="W89" s="852"/>
      <c r="X89" s="852"/>
      <c r="Y89" s="852"/>
      <c r="Z89" s="852"/>
      <c r="AA89" s="852"/>
      <c r="AB89" s="852"/>
      <c r="AC89" s="852"/>
      <c r="AD89" s="852"/>
      <c r="AE89" s="852"/>
      <c r="AF89" s="852"/>
      <c r="AG89" s="852"/>
      <c r="AH89" s="852"/>
      <c r="AI89" s="852"/>
      <c r="AJ89" s="852"/>
      <c r="AK89" s="852"/>
      <c r="AL89" s="852"/>
      <c r="AM89" s="852"/>
      <c r="AN89" s="852"/>
      <c r="AO89" s="852"/>
      <c r="AP89" s="852"/>
      <c r="AQ89" s="852"/>
      <c r="AR89" s="852"/>
      <c r="AS89" s="852"/>
      <c r="AT89" s="852"/>
      <c r="AU89" s="852"/>
      <c r="AV89" s="852"/>
      <c r="AW89" s="852"/>
      <c r="AX89" s="585"/>
    </row>
    <row r="90" spans="2:98" ht="18" customHeight="1">
      <c r="B90" s="490"/>
      <c r="C90" s="484"/>
      <c r="D90" s="851"/>
      <c r="E90" s="852"/>
      <c r="F90" s="852"/>
      <c r="G90" s="852"/>
      <c r="H90" s="852"/>
      <c r="I90" s="852"/>
      <c r="J90" s="852"/>
      <c r="K90" s="852"/>
      <c r="L90" s="852"/>
      <c r="M90" s="852"/>
      <c r="N90" s="852"/>
      <c r="O90" s="852"/>
      <c r="P90" s="852"/>
      <c r="Q90" s="852"/>
      <c r="R90" s="852"/>
      <c r="S90" s="852"/>
      <c r="T90" s="852"/>
      <c r="U90" s="852"/>
      <c r="V90" s="852"/>
      <c r="W90" s="852"/>
      <c r="X90" s="852"/>
      <c r="Y90" s="852"/>
      <c r="Z90" s="852"/>
      <c r="AA90" s="852"/>
      <c r="AB90" s="852"/>
      <c r="AC90" s="852"/>
      <c r="AD90" s="852"/>
      <c r="AE90" s="852"/>
      <c r="AF90" s="852"/>
      <c r="AG90" s="852"/>
      <c r="AH90" s="852"/>
      <c r="AI90" s="852"/>
      <c r="AJ90" s="852"/>
      <c r="AK90" s="852"/>
      <c r="AL90" s="852"/>
      <c r="AM90" s="852"/>
      <c r="AN90" s="852"/>
      <c r="AO90" s="852"/>
      <c r="AP90" s="852"/>
      <c r="AQ90" s="852"/>
      <c r="AR90" s="852"/>
      <c r="AS90" s="852"/>
      <c r="AT90" s="852"/>
      <c r="AU90" s="852"/>
      <c r="AV90" s="852"/>
      <c r="AW90" s="852"/>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51"/>
      <c r="E91" s="852"/>
      <c r="F91" s="852"/>
      <c r="G91" s="852"/>
      <c r="H91" s="852"/>
      <c r="I91" s="852"/>
      <c r="J91" s="852"/>
      <c r="K91" s="852"/>
      <c r="L91" s="852"/>
      <c r="M91" s="852"/>
      <c r="N91" s="852"/>
      <c r="O91" s="852"/>
      <c r="P91" s="852"/>
      <c r="Q91" s="852"/>
      <c r="R91" s="852"/>
      <c r="S91" s="852"/>
      <c r="T91" s="852"/>
      <c r="U91" s="852"/>
      <c r="V91" s="852"/>
      <c r="W91" s="852"/>
      <c r="X91" s="852"/>
      <c r="Y91" s="852"/>
      <c r="Z91" s="852"/>
      <c r="AA91" s="852"/>
      <c r="AB91" s="852"/>
      <c r="AC91" s="852"/>
      <c r="AD91" s="852"/>
      <c r="AE91" s="852"/>
      <c r="AF91" s="852"/>
      <c r="AG91" s="852"/>
      <c r="AH91" s="852"/>
      <c r="AI91" s="852"/>
      <c r="AJ91" s="852"/>
      <c r="AK91" s="852"/>
      <c r="AL91" s="852"/>
      <c r="AM91" s="852"/>
      <c r="AN91" s="852"/>
      <c r="AO91" s="852"/>
      <c r="AP91" s="852"/>
      <c r="AQ91" s="852"/>
      <c r="AR91" s="852"/>
      <c r="AS91" s="852"/>
      <c r="AT91" s="852"/>
      <c r="AU91" s="852"/>
      <c r="AV91" s="852"/>
      <c r="AW91" s="852"/>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formatCells="0" formatColumns="0" formatRows="0" insertColumns="0" insertRows="0" insertHyperlink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110" zoomScaleNormal="110" zoomScaleSheetLayoutView="55" workbookViewId="0" topLeftCell="C1">
      <selection activeCell="D3" sqref="D3"/>
    </sheetView>
  </sheetViews>
  <sheetFormatPr defaultColWidth="12" defaultRowHeight="12.75"/>
  <cols>
    <col min="1" max="1" width="4.5" style="162" hidden="1" customWidth="1"/>
    <col min="2" max="2" width="7.660156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242</v>
      </c>
      <c r="C3" s="299" t="s">
        <v>296</v>
      </c>
      <c r="D3" s="29" t="s">
        <v>370</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900"/>
      <c r="BH3" s="900"/>
      <c r="BI3" s="900"/>
      <c r="BJ3" s="385"/>
      <c r="BK3" s="385"/>
      <c r="BL3" s="385"/>
      <c r="BM3" s="900"/>
      <c r="BN3" s="900"/>
      <c r="BO3" s="900"/>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68" t="s">
        <v>197</v>
      </c>
      <c r="D5" s="868"/>
      <c r="E5" s="901"/>
      <c r="F5" s="901"/>
      <c r="G5" s="901"/>
      <c r="H5" s="901"/>
      <c r="I5" s="870"/>
      <c r="J5" s="870"/>
      <c r="K5" s="870"/>
      <c r="L5" s="870"/>
      <c r="M5" s="870"/>
      <c r="N5" s="870"/>
      <c r="O5" s="870"/>
      <c r="P5" s="870"/>
      <c r="Q5" s="870"/>
      <c r="R5" s="870"/>
      <c r="S5" s="870"/>
      <c r="T5" s="870"/>
      <c r="U5" s="870"/>
      <c r="V5" s="870"/>
      <c r="W5" s="870"/>
      <c r="X5" s="901"/>
      <c r="Y5" s="870"/>
      <c r="Z5" s="901"/>
      <c r="AA5" s="870"/>
      <c r="AB5" s="901"/>
      <c r="AC5" s="870"/>
      <c r="AD5" s="901"/>
      <c r="AE5" s="870"/>
      <c r="AF5" s="901"/>
      <c r="AG5" s="870"/>
      <c r="AH5" s="901"/>
      <c r="AI5" s="870"/>
      <c r="AJ5" s="870"/>
      <c r="AK5" s="870"/>
      <c r="AL5" s="901"/>
      <c r="AM5" s="870"/>
      <c r="AN5" s="901"/>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752">
        <v>113.75874447987148</v>
      </c>
      <c r="AG8" s="753"/>
      <c r="AH8" s="752">
        <v>111.97755940676433</v>
      </c>
      <c r="AI8" s="753"/>
      <c r="AJ8" s="752">
        <v>118.66579000000002</v>
      </c>
      <c r="AK8" s="753"/>
      <c r="AL8" s="752">
        <v>122.68968199999999</v>
      </c>
      <c r="AM8" s="753"/>
      <c r="AN8" s="752">
        <v>124.5492129</v>
      </c>
      <c r="AO8" s="753"/>
      <c r="AP8" s="752">
        <v>121.56332700000002</v>
      </c>
      <c r="AQ8" s="753"/>
      <c r="AR8" s="752">
        <v>133.00538759999992</v>
      </c>
      <c r="AS8" s="753"/>
      <c r="AT8" s="752">
        <v>136.498266</v>
      </c>
      <c r="AU8" s="753"/>
      <c r="AV8" s="752">
        <v>135.21421800000002</v>
      </c>
      <c r="AW8" s="525"/>
      <c r="AY8" s="173"/>
      <c r="AZ8" s="696">
        <v>1</v>
      </c>
      <c r="BA8" s="730" t="s">
        <v>14</v>
      </c>
      <c r="BB8" s="695" t="s">
        <v>298</v>
      </c>
      <c r="BC8" s="217" t="s">
        <v>82</v>
      </c>
      <c r="BD8" s="544"/>
      <c r="BE8" s="79" t="str">
        <f>IF(OR(ISBLANK(F8),ISBLANK(H8)),"N/A",IF(ABS((H8-F8)/F8)&gt;0.25,"&gt; 25%","ok"))</f>
        <v>N/A</v>
      </c>
      <c r="BF8" s="544"/>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ok</v>
      </c>
      <c r="CF8" s="82"/>
      <c r="CG8" s="82" t="str">
        <f>IF(OR(ISBLANK(AH8),ISBLANK(AJ8)),"N/A",IF(ABS((AJ8-AH8)/AH8)&gt;0.25,"&gt; 25%","ok"))</f>
        <v>ok</v>
      </c>
      <c r="CH8" s="82"/>
      <c r="CI8" s="82" t="str">
        <f>IF(OR(ISBLANK(AJ8),ISBLANK(AL8)),"N/A",IF(ABS((AL8-AJ8)/AJ8)&gt;0.25,"&gt; 25%","ok"))</f>
        <v>ok</v>
      </c>
      <c r="CJ8" s="82"/>
      <c r="CK8" s="82" t="str">
        <f>IF(OR(ISBLANK(AL8),ISBLANK(AN8)),"N/A",IF(ABS((AN8-AL8)/AL8)&gt;0.25,"&gt; 25%","ok"))</f>
        <v>ok</v>
      </c>
      <c r="CL8" s="82"/>
      <c r="CM8" s="82" t="str">
        <f>IF(OR(ISBLANK(AN8),ISBLANK(AP8)),"N/A",IF(ABS((AP8-AN8)/AN8)&gt;0.25,"&gt; 25%","ok"))</f>
        <v>ok</v>
      </c>
      <c r="CN8" s="82"/>
      <c r="CO8" s="82" t="str">
        <f>IF(OR(ISBLANK(AP8),ISBLANK(AR8)),"N/A",IF(ABS((AR8-AP8)/AP8)&gt;0.25,"&gt; 25%","ok"))</f>
        <v>ok</v>
      </c>
      <c r="CP8" s="82"/>
      <c r="CQ8" s="82" t="str">
        <f>IF(OR(ISBLANK(AR8),ISBLANK(AT8)),"N/A",IF(ABS((AT8-AR8)/AR8)&gt;0.25,"&gt; 25%","ok"))</f>
        <v>ok</v>
      </c>
      <c r="CR8" s="82"/>
      <c r="CS8" s="82" t="str">
        <f>IF(OR(ISBLANK(AT8),ISBLANK(AV8)),"N/A",IF(ABS((AV8-AT8)/AT8)&gt;0.25,"&gt; 25%","ok"))</f>
        <v>ok</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752">
        <v>48.590748479871486</v>
      </c>
      <c r="AG9" s="753"/>
      <c r="AH9" s="752">
        <v>53.144347406764325</v>
      </c>
      <c r="AI9" s="753"/>
      <c r="AJ9" s="752">
        <v>50.686549000000014</v>
      </c>
      <c r="AK9" s="753"/>
      <c r="AL9" s="752">
        <v>55.434563</v>
      </c>
      <c r="AM9" s="753"/>
      <c r="AN9" s="752">
        <v>53.9012129</v>
      </c>
      <c r="AO9" s="753"/>
      <c r="AP9" s="752">
        <v>48.515047000000024</v>
      </c>
      <c r="AQ9" s="753"/>
      <c r="AR9" s="752">
        <v>59.52933259999993</v>
      </c>
      <c r="AS9" s="753"/>
      <c r="AT9" s="752">
        <v>66.350901</v>
      </c>
      <c r="AU9" s="753"/>
      <c r="AV9" s="752">
        <v>65.12897421200003</v>
      </c>
      <c r="AW9" s="525"/>
      <c r="AY9" s="173"/>
      <c r="AZ9" s="695">
        <v>2</v>
      </c>
      <c r="BA9" s="707" t="s">
        <v>15</v>
      </c>
      <c r="BB9" s="695"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ok</v>
      </c>
      <c r="CF9" s="82"/>
      <c r="CG9" s="82" t="str">
        <f>IF(OR(ISBLANK(AH9),ISBLANK(AJ9)),"N/A",IF(ABS((AJ9-AH9)/AH9)&gt;0.25,"&gt; 25%","ok"))</f>
        <v>ok</v>
      </c>
      <c r="CH9" s="82"/>
      <c r="CI9" s="82" t="str">
        <f>IF(OR(ISBLANK(AJ9),ISBLANK(AL9)),"N/A",IF(ABS((AL9-AJ9)/AJ9)&gt;0.25,"&gt; 25%","ok"))</f>
        <v>ok</v>
      </c>
      <c r="CJ9" s="82"/>
      <c r="CK9" s="82" t="str">
        <f>IF(OR(ISBLANK(AL9),ISBLANK(AN9)),"N/A",IF(ABS((AN9-AL9)/AL9)&gt;0.25,"&gt; 25%","ok"))</f>
        <v>ok</v>
      </c>
      <c r="CL9" s="82"/>
      <c r="CM9" s="82" t="str">
        <f aca="true" t="shared" si="2" ref="CM9:CM23">IF(OR(ISBLANK(AN9),ISBLANK(AP9)),"N/A",IF(ABS((AP9-AN9)/AN9)&gt;0.25,"&gt; 25%","ok"))</f>
        <v>ok</v>
      </c>
      <c r="CN9" s="82"/>
      <c r="CO9" s="82" t="str">
        <f aca="true" t="shared" si="3" ref="CO9:CO23">IF(OR(ISBLANK(AP9),ISBLANK(AR9)),"N/A",IF(ABS((AR9-AP9)/AP9)&gt;0.25,"&gt; 25%","ok"))</f>
        <v>ok</v>
      </c>
      <c r="CP9" s="82"/>
      <c r="CQ9" s="82" t="str">
        <f aca="true" t="shared" si="4" ref="CQ9:CQ23">IF(OR(ISBLANK(AR9),ISBLANK(AT9)),"N/A",IF(ABS((AT9-AR9)/AR9)&gt;0.25,"&gt; 25%","ok"))</f>
        <v>ok</v>
      </c>
      <c r="CR9" s="82"/>
      <c r="CS9" s="82" t="str">
        <f aca="true" t="shared" si="5" ref="CS9:CS23">IF(OR(ISBLANK(AT9),ISBLANK(AV9)),"N/A",IF(ABS((AV9-AT9)/AT9)&gt;0.25,"&gt; 25%","ok"))</f>
        <v>ok</v>
      </c>
      <c r="CT9" s="82"/>
    </row>
    <row r="10" spans="1:98" s="392" customFormat="1" ht="39" customHeight="1">
      <c r="A10" s="391" t="s">
        <v>66</v>
      </c>
      <c r="B10" s="212">
        <v>29</v>
      </c>
      <c r="C10" s="333">
        <v>3</v>
      </c>
      <c r="D10" s="225" t="s">
        <v>536</v>
      </c>
      <c r="E10" s="226" t="s">
        <v>298</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752">
        <f>AF8-AF9</f>
        <v>65.16799599999999</v>
      </c>
      <c r="AG10" s="753"/>
      <c r="AH10" s="752">
        <f>AH8-AH9</f>
        <v>58.833212</v>
      </c>
      <c r="AI10" s="753"/>
      <c r="AJ10" s="752">
        <f>AJ8-AJ9</f>
        <v>67.979241</v>
      </c>
      <c r="AK10" s="753"/>
      <c r="AL10" s="752">
        <f>AL8-AL9</f>
        <v>67.255119</v>
      </c>
      <c r="AM10" s="753"/>
      <c r="AN10" s="752">
        <f>AN8-AN9</f>
        <v>70.648</v>
      </c>
      <c r="AO10" s="753"/>
      <c r="AP10" s="752">
        <f>AP8-AP9</f>
        <v>73.04827999999999</v>
      </c>
      <c r="AQ10" s="753"/>
      <c r="AR10" s="752">
        <f>AR8-AR9</f>
        <v>73.47605499999999</v>
      </c>
      <c r="AS10" s="753"/>
      <c r="AT10" s="752">
        <f>AT8-AT9</f>
        <v>70.14736500000001</v>
      </c>
      <c r="AU10" s="753"/>
      <c r="AV10" s="752">
        <f>AV8-AV9</f>
        <v>70.08524378799999</v>
      </c>
      <c r="AW10" s="525"/>
      <c r="AY10" s="393"/>
      <c r="AZ10" s="696">
        <v>3</v>
      </c>
      <c r="BA10" s="730" t="s">
        <v>536</v>
      </c>
      <c r="BB10" s="695" t="s">
        <v>298</v>
      </c>
      <c r="BC10" s="81" t="s">
        <v>82</v>
      </c>
      <c r="BD10" s="544"/>
      <c r="BE10" s="79" t="str">
        <f t="shared" si="0"/>
        <v>N/A</v>
      </c>
      <c r="BF10" s="544"/>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ok</v>
      </c>
      <c r="CF10" s="82"/>
      <c r="CG10" s="82" t="str">
        <f>IF(OR(ISBLANK(AH10),ISBLANK(AJ10)),"N/A",IF(ABS((AJ10-AH10)/AH10)&gt;0.25,"&gt; 25%","ok"))</f>
        <v>ok</v>
      </c>
      <c r="CH10" s="82"/>
      <c r="CI10" s="82" t="str">
        <f>IF(OR(ISBLANK(AJ10),ISBLANK(AL10)),"N/A",IF(ABS((AL10-AJ10)/AJ10)&gt;0.25,"&gt; 25%","ok"))</f>
        <v>ok</v>
      </c>
      <c r="CJ10" s="82"/>
      <c r="CK10" s="82" t="str">
        <f>IF(OR(ISBLANK(AL10),ISBLANK(AN10)),"N/A",IF(ABS((AN10-AL10)/AL10)&gt;0.25,"&gt; 25%","ok"))</f>
        <v>ok</v>
      </c>
      <c r="CL10" s="82"/>
      <c r="CM10" s="82" t="str">
        <f t="shared" si="2"/>
        <v>ok</v>
      </c>
      <c r="CN10" s="82"/>
      <c r="CO10" s="82" t="str">
        <f t="shared" si="3"/>
        <v>ok</v>
      </c>
      <c r="CP10" s="82"/>
      <c r="CQ10" s="82" t="str">
        <f t="shared" si="4"/>
        <v>ok</v>
      </c>
      <c r="CR10" s="82"/>
      <c r="CS10" s="82" t="str">
        <f t="shared" si="5"/>
        <v>ok</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755"/>
      <c r="AG11" s="755"/>
      <c r="AH11" s="755"/>
      <c r="AI11" s="755"/>
      <c r="AJ11" s="755"/>
      <c r="AK11" s="755"/>
      <c r="AL11" s="755"/>
      <c r="AM11" s="755"/>
      <c r="AN11" s="755"/>
      <c r="AO11" s="755"/>
      <c r="AP11" s="755"/>
      <c r="AQ11" s="755"/>
      <c r="AR11" s="755"/>
      <c r="AS11" s="755"/>
      <c r="AT11" s="755"/>
      <c r="AU11" s="755"/>
      <c r="AV11" s="75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742">
        <v>44.8420973671502</v>
      </c>
      <c r="AG12" s="523"/>
      <c r="AH12" s="742">
        <v>40.484407</v>
      </c>
      <c r="AI12" s="523"/>
      <c r="AJ12" s="742">
        <v>46.7765740140395</v>
      </c>
      <c r="AK12" s="523"/>
      <c r="AL12" s="742">
        <v>46.31590346277321</v>
      </c>
      <c r="AM12" s="523"/>
      <c r="AN12" s="742">
        <v>50.88592</v>
      </c>
      <c r="AO12" s="523"/>
      <c r="AP12" s="742">
        <v>52.206901</v>
      </c>
      <c r="AQ12" s="523"/>
      <c r="AR12" s="742">
        <v>52.611068</v>
      </c>
      <c r="AS12" s="523"/>
      <c r="AT12" s="742">
        <v>51.556298999999996</v>
      </c>
      <c r="AU12" s="523"/>
      <c r="AV12" s="742">
        <v>52.64968578799999</v>
      </c>
      <c r="AW12" s="523"/>
      <c r="AY12" s="398"/>
      <c r="AZ12" s="693">
        <v>4</v>
      </c>
      <c r="BA12" s="701" t="s">
        <v>316</v>
      </c>
      <c r="BB12" s="695" t="s">
        <v>298</v>
      </c>
      <c r="BC12" s="79" t="s">
        <v>82</v>
      </c>
      <c r="BD12" s="543"/>
      <c r="BE12" s="79" t="str">
        <f t="shared" si="0"/>
        <v>N/A</v>
      </c>
      <c r="BF12" s="544"/>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ok</v>
      </c>
      <c r="CF12" s="82"/>
      <c r="CG12" s="82" t="str">
        <f aca="true" t="shared" si="18" ref="CG12:CG19">IF(OR(ISBLANK(AH12),ISBLANK(AJ12)),"N/A",IF(ABS((AJ12-AH12)/AH12)&gt;0.25,"&gt; 25%","ok"))</f>
        <v>ok</v>
      </c>
      <c r="CH12" s="82"/>
      <c r="CI12" s="82" t="str">
        <f aca="true" t="shared" si="19" ref="CI12:CI19">IF(OR(ISBLANK(AJ12),ISBLANK(AL12)),"N/A",IF(ABS((AL12-AJ12)/AJ12)&gt;0.25,"&gt; 25%","ok"))</f>
        <v>ok</v>
      </c>
      <c r="CJ12" s="82"/>
      <c r="CK12" s="82" t="str">
        <f aca="true" t="shared" si="20" ref="CK12:CK19">IF(OR(ISBLANK(AL12),ISBLANK(AN12)),"N/A",IF(ABS((AN12-AL12)/AL12)&gt;0.25,"&gt; 25%","ok"))</f>
        <v>ok</v>
      </c>
      <c r="CL12" s="82"/>
      <c r="CM12" s="82" t="str">
        <f t="shared" si="2"/>
        <v>ok</v>
      </c>
      <c r="CN12" s="82"/>
      <c r="CO12" s="82" t="str">
        <f t="shared" si="3"/>
        <v>ok</v>
      </c>
      <c r="CP12" s="82"/>
      <c r="CQ12" s="82" t="str">
        <f t="shared" si="4"/>
        <v>ok</v>
      </c>
      <c r="CR12" s="82"/>
      <c r="CS12" s="82" t="str">
        <f t="shared" si="5"/>
        <v>ok</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Z13" s="695">
        <v>5</v>
      </c>
      <c r="BA13" s="700" t="s">
        <v>117</v>
      </c>
      <c r="BB13" s="695"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c r="AO14" s="524"/>
      <c r="AP14" s="538"/>
      <c r="AQ14" s="524"/>
      <c r="AR14" s="538"/>
      <c r="AS14" s="524"/>
      <c r="AT14" s="538"/>
      <c r="AU14" s="524"/>
      <c r="AV14" s="538"/>
      <c r="AW14" s="524"/>
      <c r="AZ14" s="695">
        <v>6</v>
      </c>
      <c r="BA14" s="700" t="s">
        <v>518</v>
      </c>
      <c r="BB14" s="695"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c r="AE15" s="524"/>
      <c r="AF15" s="538"/>
      <c r="AG15" s="524"/>
      <c r="AH15" s="538"/>
      <c r="AI15" s="524"/>
      <c r="AJ15" s="538"/>
      <c r="AK15" s="524"/>
      <c r="AL15" s="538"/>
      <c r="AM15" s="524"/>
      <c r="AN15" s="538"/>
      <c r="AO15" s="524"/>
      <c r="AP15" s="538"/>
      <c r="AQ15" s="524"/>
      <c r="AR15" s="538"/>
      <c r="AS15" s="524"/>
      <c r="AT15" s="538"/>
      <c r="AU15" s="524"/>
      <c r="AV15" s="538"/>
      <c r="AW15" s="524"/>
      <c r="AZ15" s="695">
        <v>7</v>
      </c>
      <c r="BA15" s="700" t="s">
        <v>487</v>
      </c>
      <c r="BB15" s="695"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c r="AO16" s="524"/>
      <c r="AP16" s="538"/>
      <c r="AQ16" s="524"/>
      <c r="AR16" s="538"/>
      <c r="AS16" s="524"/>
      <c r="AT16" s="538"/>
      <c r="AU16" s="524"/>
      <c r="AV16" s="538"/>
      <c r="AW16" s="524"/>
      <c r="AZ16" s="693">
        <v>8</v>
      </c>
      <c r="BA16" s="699" t="s">
        <v>520</v>
      </c>
      <c r="BB16" s="695"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c r="AC17" s="524"/>
      <c r="AD17" s="538"/>
      <c r="AE17" s="524"/>
      <c r="AF17" s="538"/>
      <c r="AG17" s="524"/>
      <c r="AH17" s="538"/>
      <c r="AI17" s="524"/>
      <c r="AJ17" s="538"/>
      <c r="AK17" s="524"/>
      <c r="AL17" s="538"/>
      <c r="AM17" s="524"/>
      <c r="AN17" s="538"/>
      <c r="AO17" s="524"/>
      <c r="AP17" s="538"/>
      <c r="AQ17" s="524"/>
      <c r="AR17" s="538"/>
      <c r="AS17" s="524"/>
      <c r="AT17" s="538"/>
      <c r="AU17" s="524"/>
      <c r="AV17" s="538"/>
      <c r="AW17" s="524"/>
      <c r="AZ17" s="693">
        <v>9</v>
      </c>
      <c r="BA17" s="731" t="s">
        <v>559</v>
      </c>
      <c r="BB17" s="695"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c r="AC18" s="529"/>
      <c r="AD18" s="540"/>
      <c r="AE18" s="529"/>
      <c r="AF18" s="540"/>
      <c r="AG18" s="529"/>
      <c r="AH18" s="540"/>
      <c r="AI18" s="529"/>
      <c r="AJ18" s="540"/>
      <c r="AK18" s="529"/>
      <c r="AL18" s="540"/>
      <c r="AM18" s="529"/>
      <c r="AN18" s="540"/>
      <c r="AO18" s="529"/>
      <c r="AP18" s="540"/>
      <c r="AQ18" s="529"/>
      <c r="AR18" s="540"/>
      <c r="AS18" s="529"/>
      <c r="AT18" s="540"/>
      <c r="AU18" s="529"/>
      <c r="AV18" s="540"/>
      <c r="AW18" s="529"/>
      <c r="AZ18" s="693">
        <v>10</v>
      </c>
      <c r="BA18" s="701" t="s">
        <v>516</v>
      </c>
      <c r="BB18" s="695"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754">
        <v>20.32589827234701</v>
      </c>
      <c r="AG19" s="529"/>
      <c r="AH19" s="754">
        <v>18.348805</v>
      </c>
      <c r="AI19" s="529"/>
      <c r="AJ19" s="754">
        <v>21.202666985960544</v>
      </c>
      <c r="AK19" s="529"/>
      <c r="AL19" s="754">
        <v>20.939215537226776</v>
      </c>
      <c r="AM19" s="529"/>
      <c r="AN19" s="754">
        <v>19.762010999999998</v>
      </c>
      <c r="AO19" s="529"/>
      <c r="AP19" s="754">
        <v>20.841379</v>
      </c>
      <c r="AQ19" s="529"/>
      <c r="AR19" s="754">
        <v>20.864987</v>
      </c>
      <c r="AS19" s="529"/>
      <c r="AT19" s="754">
        <v>18.591065999999998</v>
      </c>
      <c r="AU19" s="529"/>
      <c r="AV19" s="754">
        <v>17.435558</v>
      </c>
      <c r="AW19" s="529"/>
      <c r="AZ19" s="695">
        <v>11</v>
      </c>
      <c r="BA19" s="732" t="s">
        <v>317</v>
      </c>
      <c r="BB19" s="695"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ok</v>
      </c>
      <c r="CF19" s="82"/>
      <c r="CG19" s="82" t="str">
        <f t="shared" si="18"/>
        <v>ok</v>
      </c>
      <c r="CH19" s="82"/>
      <c r="CI19" s="82" t="str">
        <f t="shared" si="19"/>
        <v>ok</v>
      </c>
      <c r="CJ19" s="82"/>
      <c r="CK19" s="82" t="str">
        <f t="shared" si="20"/>
        <v>ok</v>
      </c>
      <c r="CL19" s="82"/>
      <c r="CM19" s="82" t="str">
        <f t="shared" si="2"/>
        <v>ok</v>
      </c>
      <c r="CN19" s="82"/>
      <c r="CO19" s="82" t="str">
        <f t="shared" si="3"/>
        <v>ok</v>
      </c>
      <c r="CP19" s="82"/>
      <c r="CQ19" s="82" t="str">
        <f t="shared" si="4"/>
        <v>ok</v>
      </c>
      <c r="CR19" s="82"/>
      <c r="CS19" s="82" t="str">
        <f t="shared" si="5"/>
        <v>ok</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c r="I21" s="524"/>
      <c r="J21" s="538"/>
      <c r="K21" s="524"/>
      <c r="L21" s="538"/>
      <c r="M21" s="524"/>
      <c r="N21" s="538"/>
      <c r="O21" s="524"/>
      <c r="P21" s="538"/>
      <c r="Q21" s="524"/>
      <c r="R21" s="538"/>
      <c r="S21" s="524"/>
      <c r="T21" s="538"/>
      <c r="U21" s="524"/>
      <c r="V21" s="538"/>
      <c r="W21" s="524"/>
      <c r="X21" s="538"/>
      <c r="Y21" s="524"/>
      <c r="Z21" s="538"/>
      <c r="AA21" s="524"/>
      <c r="AB21" s="538"/>
      <c r="AC21" s="524"/>
      <c r="AD21" s="538"/>
      <c r="AE21" s="524"/>
      <c r="AF21" s="538"/>
      <c r="AG21" s="524"/>
      <c r="AH21" s="538"/>
      <c r="AI21" s="524"/>
      <c r="AJ21" s="538"/>
      <c r="AK21" s="524"/>
      <c r="AL21" s="538"/>
      <c r="AM21" s="524"/>
      <c r="AN21" s="538"/>
      <c r="AO21" s="524"/>
      <c r="AP21" s="538"/>
      <c r="AQ21" s="524"/>
      <c r="AR21" s="538"/>
      <c r="AS21" s="524"/>
      <c r="AT21" s="538"/>
      <c r="AU21" s="524"/>
      <c r="AV21" s="538"/>
      <c r="AW21" s="524"/>
      <c r="AY21" s="342"/>
      <c r="AZ21" s="696">
        <v>12</v>
      </c>
      <c r="BA21" s="730" t="s">
        <v>17</v>
      </c>
      <c r="BB21" s="695"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c r="O22" s="524"/>
      <c r="P22" s="538"/>
      <c r="Q22" s="524"/>
      <c r="R22" s="538"/>
      <c r="S22" s="524"/>
      <c r="T22" s="538"/>
      <c r="U22" s="524"/>
      <c r="V22" s="538"/>
      <c r="W22" s="524"/>
      <c r="X22" s="538"/>
      <c r="Y22" s="524"/>
      <c r="Z22" s="538"/>
      <c r="AA22" s="524"/>
      <c r="AB22" s="538"/>
      <c r="AC22" s="524"/>
      <c r="AD22" s="538"/>
      <c r="AE22" s="524"/>
      <c r="AF22" s="538"/>
      <c r="AG22" s="524"/>
      <c r="AH22" s="538"/>
      <c r="AI22" s="524"/>
      <c r="AJ22" s="538"/>
      <c r="AK22" s="524"/>
      <c r="AL22" s="538"/>
      <c r="AM22" s="524"/>
      <c r="AN22" s="538"/>
      <c r="AO22" s="524"/>
      <c r="AP22" s="538"/>
      <c r="AQ22" s="524"/>
      <c r="AR22" s="538"/>
      <c r="AS22" s="524"/>
      <c r="AT22" s="538"/>
      <c r="AU22" s="524"/>
      <c r="AV22" s="538"/>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c r="O23" s="530"/>
      <c r="P23" s="517"/>
      <c r="Q23" s="530"/>
      <c r="R23" s="517"/>
      <c r="S23" s="530"/>
      <c r="T23" s="517"/>
      <c r="U23" s="530"/>
      <c r="V23" s="517"/>
      <c r="W23" s="530"/>
      <c r="X23" s="517"/>
      <c r="Y23" s="530"/>
      <c r="Z23" s="517"/>
      <c r="AA23" s="530"/>
      <c r="AB23" s="517"/>
      <c r="AC23" s="530"/>
      <c r="AD23" s="517"/>
      <c r="AE23" s="530"/>
      <c r="AF23" s="517"/>
      <c r="AG23" s="530"/>
      <c r="AH23" s="517"/>
      <c r="AI23" s="530"/>
      <c r="AJ23" s="517"/>
      <c r="AK23" s="530"/>
      <c r="AL23" s="517"/>
      <c r="AM23" s="530"/>
      <c r="AN23" s="517"/>
      <c r="AO23" s="530"/>
      <c r="AP23" s="517"/>
      <c r="AQ23" s="530"/>
      <c r="AR23" s="517"/>
      <c r="AS23" s="530"/>
      <c r="AT23" s="517"/>
      <c r="AU23" s="530"/>
      <c r="AV23" s="517"/>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42" t="s">
        <v>122</v>
      </c>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842"/>
      <c r="AM26" s="842"/>
      <c r="AN26" s="842"/>
      <c r="AO26" s="842"/>
      <c r="AP26" s="842"/>
      <c r="AQ26" s="842"/>
      <c r="AR26" s="842"/>
      <c r="AS26" s="842"/>
      <c r="AT26" s="842"/>
      <c r="AU26" s="842"/>
      <c r="AV26" s="842"/>
      <c r="AW26" s="842"/>
      <c r="AX26" s="842"/>
      <c r="AY26" s="406"/>
      <c r="AZ26" s="695">
        <v>3</v>
      </c>
      <c r="BA26" s="730" t="s">
        <v>536</v>
      </c>
      <c r="BB26" s="695"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65.16799599999999</v>
      </c>
      <c r="CD26" s="81"/>
      <c r="CE26" s="81">
        <f>AH10</f>
        <v>58.833212</v>
      </c>
      <c r="CF26" s="81"/>
      <c r="CG26" s="81">
        <f>AJ10</f>
        <v>67.979241</v>
      </c>
      <c r="CH26" s="81"/>
      <c r="CI26" s="81">
        <f>AL10</f>
        <v>67.255119</v>
      </c>
      <c r="CJ26" s="81"/>
      <c r="CK26" s="81">
        <f>AN10</f>
        <v>70.648</v>
      </c>
      <c r="CL26" s="81"/>
      <c r="CM26" s="81">
        <f>AP10</f>
        <v>73.04827999999999</v>
      </c>
      <c r="CN26" s="81"/>
      <c r="CO26" s="81">
        <f>AR10</f>
        <v>73.47605499999999</v>
      </c>
      <c r="CP26" s="81"/>
      <c r="CQ26" s="81">
        <f>AT10</f>
        <v>70.14736500000001</v>
      </c>
      <c r="CR26" s="81"/>
      <c r="CS26" s="81">
        <f>AV10</f>
        <v>70.08524378799999</v>
      </c>
      <c r="CT26" s="81"/>
    </row>
    <row r="27" spans="1:113" s="389" customFormat="1" ht="14.25" customHeight="1">
      <c r="A27" s="247"/>
      <c r="B27" s="247"/>
      <c r="C27" s="245" t="s">
        <v>142</v>
      </c>
      <c r="D27" s="838" t="s">
        <v>143</v>
      </c>
      <c r="E27" s="838"/>
      <c r="F27" s="838"/>
      <c r="G27" s="838"/>
      <c r="H27" s="838"/>
      <c r="I27" s="838"/>
      <c r="J27" s="838"/>
      <c r="K27" s="838"/>
      <c r="L27" s="838"/>
      <c r="M27" s="838"/>
      <c r="N27" s="838"/>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838"/>
      <c r="AM27" s="838"/>
      <c r="AN27" s="838"/>
      <c r="AO27" s="838"/>
      <c r="AP27" s="838"/>
      <c r="AQ27" s="838"/>
      <c r="AR27" s="838"/>
      <c r="AS27" s="838"/>
      <c r="AT27" s="838"/>
      <c r="AU27" s="838"/>
      <c r="AV27" s="838"/>
      <c r="AW27" s="838"/>
      <c r="AX27" s="838"/>
      <c r="AY27" s="406"/>
      <c r="AZ27" s="261">
        <v>15</v>
      </c>
      <c r="BA27" s="407"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65.16799599999999</v>
      </c>
      <c r="CD27" s="81"/>
      <c r="CE27" s="81">
        <f>AH8-AH9</f>
        <v>58.833212</v>
      </c>
      <c r="CF27" s="81"/>
      <c r="CG27" s="81">
        <f>AJ8-AJ9</f>
        <v>67.979241</v>
      </c>
      <c r="CH27" s="81"/>
      <c r="CI27" s="81">
        <f>AL8-AL9</f>
        <v>67.255119</v>
      </c>
      <c r="CJ27" s="81"/>
      <c r="CK27" s="81">
        <f>AN8-AN9</f>
        <v>70.648</v>
      </c>
      <c r="CL27" s="81"/>
      <c r="CM27" s="81">
        <f>AP8-AP9</f>
        <v>73.04827999999999</v>
      </c>
      <c r="CN27" s="81"/>
      <c r="CO27" s="81">
        <f>AR8-AR9</f>
        <v>73.47605499999999</v>
      </c>
      <c r="CP27" s="81"/>
      <c r="CQ27" s="81">
        <f>AT8-AT9</f>
        <v>70.14736500000001</v>
      </c>
      <c r="CR27" s="81"/>
      <c r="CS27" s="81">
        <f>AV8-AV9</f>
        <v>70.08524378799999</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42" t="s">
        <v>625</v>
      </c>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c r="AN28" s="842"/>
      <c r="AO28" s="842"/>
      <c r="AP28" s="842"/>
      <c r="AQ28" s="842"/>
      <c r="AR28" s="842"/>
      <c r="AS28" s="842"/>
      <c r="AT28" s="842"/>
      <c r="AU28" s="842"/>
      <c r="AV28" s="842"/>
      <c r="AW28" s="842"/>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ok</v>
      </c>
      <c r="CD28" s="81"/>
      <c r="CE28" s="81" t="str">
        <f>IF(OR(ISBLANK(AH8),ISBLANK(AH9),ISBLANK(AH10)),"N/A",IF((CE26=CE27),"ok","&lt;&gt;"))</f>
        <v>ok</v>
      </c>
      <c r="CF28" s="81"/>
      <c r="CG28" s="81" t="str">
        <f>IF(OR(ISBLANK(AJ8),ISBLANK(AJ9),ISBLANK(AJ10)),"N/A",IF((CG26=CG27),"ok","&lt;&gt;"))</f>
        <v>ok</v>
      </c>
      <c r="CH28" s="81"/>
      <c r="CI28" s="81" t="str">
        <f>IF(OR(ISBLANK(AL8),ISBLANK(AL9),ISBLANK(AL10)),"N/A",IF((CI26=CI27),"ok","&lt;&gt;"))</f>
        <v>ok</v>
      </c>
      <c r="CJ28" s="81"/>
      <c r="CK28" s="81" t="str">
        <f>IF(OR(ISBLANK(AN8),ISBLANK(AN9),ISBLANK(AN10)),"N/A",IF((CK26=CK27),"ok","&lt;&gt;"))</f>
        <v>ok</v>
      </c>
      <c r="CL28" s="81"/>
      <c r="CM28" s="81" t="str">
        <f>IF(OR(ISBLANK(AP8),ISBLANK(AP9),ISBLANK(AP10)),"N/A",IF((CM26=CM27),"ok","&lt;&gt;"))</f>
        <v>ok</v>
      </c>
      <c r="CN28" s="81"/>
      <c r="CO28" s="81" t="str">
        <f>IF(OR(ISBLANK(AR8),ISBLANK(AR9),ISBLANK(AR10)),"N/A",IF((CO26=CO27),"ok","&lt;&gt;"))</f>
        <v>ok</v>
      </c>
      <c r="CP28" s="81"/>
      <c r="CQ28" s="81" t="str">
        <f>IF(OR(ISBLANK(AT8),ISBLANK(AT9),ISBLANK(AT10)),"N/A",IF((CQ26=CQ27),"ok","&lt;&gt;"))</f>
        <v>ok</v>
      </c>
      <c r="CR28" s="81"/>
      <c r="CS28" s="81" t="str">
        <f>IF(OR(ISBLANK(AV8),ISBLANK(AV9),ISBLANK(AV10)),"N/A",IF((CS26=CS27),"ok","&lt;&gt;"))</f>
        <v>ok</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42" t="s">
        <v>251</v>
      </c>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c r="AT29" s="842"/>
      <c r="AU29" s="842"/>
      <c r="AV29" s="246"/>
      <c r="AW29" s="246"/>
      <c r="AX29" s="246"/>
      <c r="AY29" s="406"/>
      <c r="AZ29" s="261">
        <v>16</v>
      </c>
      <c r="BA29" s="249"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65.1679956394972</v>
      </c>
      <c r="CD29" s="81"/>
      <c r="CE29" s="81">
        <f>SUM(AH12:AH16)+SUM(AH18:AH19)</f>
        <v>58.833211999999996</v>
      </c>
      <c r="CF29" s="81"/>
      <c r="CG29" s="81">
        <f>SUM(AJ12:AJ16)+SUM(AJ18:AJ19)</f>
        <v>67.97924100000004</v>
      </c>
      <c r="CH29" s="81"/>
      <c r="CI29" s="81">
        <f>SUM(AL12:AL16)+SUM(AL18:AL19)</f>
        <v>67.25511899999998</v>
      </c>
      <c r="CJ29" s="81"/>
      <c r="CK29" s="81">
        <f>SUM(AN12:AN16)+SUM(AN18:AN19)</f>
        <v>70.647931</v>
      </c>
      <c r="CL29" s="81"/>
      <c r="CM29" s="81">
        <f>SUM(AP12:AP16)+SUM(AP18:AP19)</f>
        <v>73.04828</v>
      </c>
      <c r="CN29" s="81"/>
      <c r="CO29" s="81">
        <f>SUM(AR12:AR16)+SUM(AR18:AR19)</f>
        <v>73.476055</v>
      </c>
      <c r="CP29" s="81"/>
      <c r="CQ29" s="81">
        <f>SUM(AT12:AT16)+SUM(AT18:AT19)</f>
        <v>70.147365</v>
      </c>
      <c r="CR29" s="81"/>
      <c r="CS29" s="81">
        <f>SUM(AV12:AV16)+SUM(AV18:AV19)</f>
        <v>70.08524378799999</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42" t="s">
        <v>110</v>
      </c>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c r="AH30" s="842"/>
      <c r="AI30" s="842"/>
      <c r="AJ30" s="842"/>
      <c r="AK30" s="842"/>
      <c r="AL30" s="842"/>
      <c r="AM30" s="842"/>
      <c r="AN30" s="842"/>
      <c r="AO30" s="842"/>
      <c r="AP30" s="842"/>
      <c r="AQ30" s="842"/>
      <c r="AR30" s="842"/>
      <c r="AS30" s="842"/>
      <c r="AT30" s="842"/>
      <c r="AU30" s="842"/>
      <c r="AV30" s="842"/>
      <c r="AW30" s="842"/>
      <c r="AX30" s="842"/>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57"/>
      <c r="E31" s="857"/>
      <c r="F31" s="857"/>
      <c r="G31" s="857"/>
      <c r="H31" s="857"/>
      <c r="I31" s="857"/>
      <c r="J31" s="857"/>
      <c r="K31" s="857"/>
      <c r="L31" s="857"/>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96" t="str">
        <f>D12&amp;" (W3,4)"</f>
        <v>Households (W3,4)</v>
      </c>
      <c r="V32" s="897"/>
      <c r="W32" s="897"/>
      <c r="X32" s="897"/>
      <c r="Y32" s="897"/>
      <c r="Z32" s="897"/>
      <c r="AA32" s="897"/>
      <c r="AB32" s="898"/>
      <c r="AC32" s="252"/>
      <c r="AD32" s="252"/>
      <c r="AE32" s="252"/>
      <c r="AF32" s="252"/>
      <c r="AG32" s="252"/>
      <c r="AH32" s="252"/>
      <c r="AI32" s="252"/>
      <c r="AJ32" s="252"/>
      <c r="AK32" s="252"/>
      <c r="AL32" s="843"/>
      <c r="AM32" s="843"/>
      <c r="AN32" s="843"/>
      <c r="AO32" s="843"/>
      <c r="AP32" s="843"/>
      <c r="AQ32" s="843"/>
      <c r="AR32" s="843"/>
      <c r="AS32" s="843"/>
      <c r="AT32" s="843"/>
      <c r="AU32" s="843"/>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905" t="str">
        <f>LEFT(D10,LEN(D10)-25)&amp;" (W3,3)"</f>
        <v>Net freshwater supplied by water supply industry (ISIC 36)   (W3,3)</v>
      </c>
      <c r="L33" s="906"/>
      <c r="M33" s="906"/>
      <c r="N33" s="907"/>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902" t="str">
        <f>D8&amp;" (W3, 1)"</f>
        <v>Gross freshwater supplied by water supply industry (ISIC 36) (W3, 1)</v>
      </c>
      <c r="E34" s="253"/>
      <c r="F34" s="558"/>
      <c r="G34" s="558"/>
      <c r="H34" s="558"/>
      <c r="I34" s="558"/>
      <c r="J34" s="558"/>
      <c r="K34" s="908"/>
      <c r="L34" s="909"/>
      <c r="M34" s="909"/>
      <c r="N34" s="910"/>
      <c r="O34" s="558"/>
      <c r="P34" s="919" t="s">
        <v>16</v>
      </c>
      <c r="Q34" s="919"/>
      <c r="R34" s="558"/>
      <c r="S34" s="558"/>
      <c r="T34" s="558"/>
      <c r="U34" s="896" t="str">
        <f>D13&amp;" (W3,5)"</f>
        <v>Agriculture, forestry and fishing (ISIC 01-03) (W3,5)</v>
      </c>
      <c r="V34" s="897"/>
      <c r="W34" s="897"/>
      <c r="X34" s="897"/>
      <c r="Y34" s="897"/>
      <c r="Z34" s="897"/>
      <c r="AA34" s="897"/>
      <c r="AB34" s="898"/>
      <c r="AC34" s="254"/>
      <c r="AD34" s="253"/>
      <c r="AE34" s="554"/>
      <c r="AF34" s="554"/>
      <c r="AG34" s="413"/>
      <c r="AH34" s="899"/>
      <c r="AI34" s="899"/>
      <c r="AJ34" s="252"/>
      <c r="AK34" s="252"/>
      <c r="AL34" s="843"/>
      <c r="AM34" s="843"/>
      <c r="AN34" s="843"/>
      <c r="AO34" s="843"/>
      <c r="AP34" s="843"/>
      <c r="AQ34" s="843"/>
      <c r="AR34" s="843"/>
      <c r="AS34" s="843"/>
      <c r="AT34" s="843"/>
      <c r="AU34" s="843"/>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903"/>
      <c r="E35" s="558"/>
      <c r="F35" s="558"/>
      <c r="G35" s="558"/>
      <c r="H35" s="558"/>
      <c r="I35" s="558"/>
      <c r="J35" s="558"/>
      <c r="K35" s="908"/>
      <c r="L35" s="909"/>
      <c r="M35" s="909"/>
      <c r="N35" s="910"/>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903"/>
      <c r="E36" s="558"/>
      <c r="F36" s="558"/>
      <c r="G36" s="558"/>
      <c r="H36" s="558"/>
      <c r="I36" s="558"/>
      <c r="J36" s="558"/>
      <c r="K36" s="908"/>
      <c r="L36" s="909"/>
      <c r="M36" s="909"/>
      <c r="N36" s="910"/>
      <c r="O36" s="558"/>
      <c r="P36" s="558"/>
      <c r="Q36" s="558"/>
      <c r="R36" s="558"/>
      <c r="S36" s="558"/>
      <c r="T36" s="558"/>
      <c r="U36" s="896" t="str">
        <f>D14&amp;" (W3,6)"</f>
        <v>Mining and quarrying (ISIC 05-09) (W3,6)</v>
      </c>
      <c r="V36" s="897"/>
      <c r="W36" s="897"/>
      <c r="X36" s="897"/>
      <c r="Y36" s="897"/>
      <c r="Z36" s="897"/>
      <c r="AA36" s="897"/>
      <c r="AB36" s="898"/>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903"/>
      <c r="E37" s="558"/>
      <c r="F37" s="558"/>
      <c r="G37" s="558"/>
      <c r="H37" s="558"/>
      <c r="I37" s="558"/>
      <c r="J37" s="558"/>
      <c r="K37" s="908"/>
      <c r="L37" s="909"/>
      <c r="M37" s="909"/>
      <c r="N37" s="910"/>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904"/>
      <c r="E38" s="558"/>
      <c r="F38" s="558"/>
      <c r="G38" s="558"/>
      <c r="H38" s="558"/>
      <c r="I38" s="558"/>
      <c r="J38" s="558"/>
      <c r="K38" s="911"/>
      <c r="L38" s="912"/>
      <c r="M38" s="912"/>
      <c r="N38" s="913"/>
      <c r="O38" s="558"/>
      <c r="P38" s="558"/>
      <c r="Q38" s="558"/>
      <c r="R38" s="558"/>
      <c r="S38" s="558"/>
      <c r="T38" s="558"/>
      <c r="U38" s="896" t="str">
        <f>D15&amp;" (W3,7)"</f>
        <v>Manufacturing (ISIC 10-33) (W3,7)</v>
      </c>
      <c r="V38" s="897"/>
      <c r="W38" s="897"/>
      <c r="X38" s="897"/>
      <c r="Y38" s="897"/>
      <c r="Z38" s="897"/>
      <c r="AA38" s="897"/>
      <c r="AB38" s="898"/>
      <c r="AC38" s="254"/>
      <c r="AD38" s="554"/>
      <c r="AE38" s="554"/>
      <c r="AF38" s="554"/>
      <c r="AG38" s="252"/>
      <c r="AH38" s="252"/>
      <c r="AI38" s="252"/>
      <c r="AJ38" s="252"/>
      <c r="AK38" s="252"/>
      <c r="AL38" s="843"/>
      <c r="AM38" s="843"/>
      <c r="AN38" s="843"/>
      <c r="AO38" s="843"/>
      <c r="AP38" s="843"/>
      <c r="AQ38" s="843"/>
      <c r="AR38" s="843"/>
      <c r="AS38" s="843"/>
      <c r="AT38" s="843"/>
      <c r="AU38" s="843"/>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96" t="str">
        <f>D16&amp;" (W3,8)"</f>
        <v>Electricity, gas, steam and air conditioning supply  (ISIC 35) (W3,8)</v>
      </c>
      <c r="V40" s="897"/>
      <c r="W40" s="897"/>
      <c r="X40" s="897"/>
      <c r="Y40" s="897"/>
      <c r="Z40" s="897"/>
      <c r="AA40" s="897"/>
      <c r="AB40" s="898"/>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96" t="str">
        <f>D18&amp;" (W3,10)"</f>
        <v>Construction (ISIC 41-43) (W3,10)</v>
      </c>
      <c r="V42" s="897"/>
      <c r="W42" s="897"/>
      <c r="X42" s="897"/>
      <c r="Y42" s="897"/>
      <c r="Z42" s="897"/>
      <c r="AA42" s="897"/>
      <c r="AB42" s="898"/>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905" t="str">
        <f>D9&amp;" (W3, 2)"</f>
        <v>Losses during transport by ISIC 36 (W3, 2)</v>
      </c>
      <c r="F43" s="914"/>
      <c r="G43" s="914"/>
      <c r="H43" s="915"/>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916"/>
      <c r="F44" s="917"/>
      <c r="G44" s="917"/>
      <c r="H44" s="918"/>
      <c r="I44" s="255"/>
      <c r="J44" s="255"/>
      <c r="K44" s="255"/>
      <c r="L44" s="255"/>
      <c r="M44" s="255"/>
      <c r="N44" s="255"/>
      <c r="O44" s="255"/>
      <c r="P44" s="255"/>
      <c r="Q44" s="255"/>
      <c r="R44" s="255"/>
      <c r="S44" s="255"/>
      <c r="T44" s="255"/>
      <c r="U44" s="896" t="str">
        <f>D19&amp;" (W3,11)"</f>
        <v>Other economic activities (W3,11)</v>
      </c>
      <c r="V44" s="897"/>
      <c r="W44" s="897"/>
      <c r="X44" s="897"/>
      <c r="Y44" s="897"/>
      <c r="Z44" s="897"/>
      <c r="AA44" s="897"/>
      <c r="AB44" s="898"/>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7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3:52" ht="18" customHeight="1">
      <c r="C49" s="484"/>
      <c r="D49" s="839"/>
      <c r="E49" s="840"/>
      <c r="F49" s="840"/>
      <c r="G49" s="840"/>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c r="AR49" s="840"/>
      <c r="AS49" s="840"/>
      <c r="AT49" s="840"/>
      <c r="AU49" s="840"/>
      <c r="AV49" s="840"/>
      <c r="AW49" s="840"/>
      <c r="AX49" s="841"/>
      <c r="AY49" s="421"/>
      <c r="AZ49" s="418"/>
    </row>
    <row r="50" spans="3:52" ht="18" customHeight="1">
      <c r="C50" s="484"/>
      <c r="D50" s="851"/>
      <c r="E50" s="852"/>
      <c r="F50" s="852"/>
      <c r="G50" s="852"/>
      <c r="H50" s="852"/>
      <c r="I50" s="852"/>
      <c r="J50" s="852"/>
      <c r="K50" s="852"/>
      <c r="L50" s="852"/>
      <c r="M50" s="852"/>
      <c r="N50" s="852"/>
      <c r="O50" s="852"/>
      <c r="P50" s="852"/>
      <c r="Q50" s="852"/>
      <c r="R50" s="852"/>
      <c r="S50" s="852"/>
      <c r="T50" s="852"/>
      <c r="U50" s="852"/>
      <c r="V50" s="852"/>
      <c r="W50" s="852"/>
      <c r="X50" s="852"/>
      <c r="Y50" s="852"/>
      <c r="Z50" s="852"/>
      <c r="AA50" s="852"/>
      <c r="AB50" s="852"/>
      <c r="AC50" s="852"/>
      <c r="AD50" s="852"/>
      <c r="AE50" s="852"/>
      <c r="AF50" s="852"/>
      <c r="AG50" s="852"/>
      <c r="AH50" s="852"/>
      <c r="AI50" s="852"/>
      <c r="AJ50" s="852"/>
      <c r="AK50" s="852"/>
      <c r="AL50" s="852"/>
      <c r="AM50" s="852"/>
      <c r="AN50" s="852"/>
      <c r="AO50" s="852"/>
      <c r="AP50" s="852"/>
      <c r="AQ50" s="852"/>
      <c r="AR50" s="852"/>
      <c r="AS50" s="852"/>
      <c r="AT50" s="852"/>
      <c r="AU50" s="852"/>
      <c r="AV50" s="852"/>
      <c r="AW50" s="852"/>
      <c r="AX50" s="853"/>
      <c r="AY50" s="421"/>
      <c r="AZ50" s="418"/>
    </row>
    <row r="51" spans="3:52" ht="18" customHeight="1">
      <c r="C51" s="484"/>
      <c r="D51" s="851"/>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52"/>
      <c r="AM51" s="852"/>
      <c r="AN51" s="852"/>
      <c r="AO51" s="852"/>
      <c r="AP51" s="852"/>
      <c r="AQ51" s="852"/>
      <c r="AR51" s="852"/>
      <c r="AS51" s="852"/>
      <c r="AT51" s="852"/>
      <c r="AU51" s="852"/>
      <c r="AV51" s="852"/>
      <c r="AW51" s="852"/>
      <c r="AX51" s="853"/>
      <c r="AY51" s="421"/>
      <c r="AZ51" s="418"/>
    </row>
    <row r="52" spans="3:52" ht="18" customHeight="1">
      <c r="C52" s="484"/>
      <c r="D52" s="851"/>
      <c r="E52" s="852"/>
      <c r="F52" s="852"/>
      <c r="G52" s="852"/>
      <c r="H52" s="852"/>
      <c r="I52" s="852"/>
      <c r="J52" s="852"/>
      <c r="K52" s="852"/>
      <c r="L52" s="852"/>
      <c r="M52" s="852"/>
      <c r="N52" s="852"/>
      <c r="O52" s="852"/>
      <c r="P52" s="852"/>
      <c r="Q52" s="852"/>
      <c r="R52" s="852"/>
      <c r="S52" s="852"/>
      <c r="T52" s="852"/>
      <c r="U52" s="852"/>
      <c r="V52" s="852"/>
      <c r="W52" s="852"/>
      <c r="X52" s="852"/>
      <c r="Y52" s="852"/>
      <c r="Z52" s="852"/>
      <c r="AA52" s="852"/>
      <c r="AB52" s="852"/>
      <c r="AC52" s="852"/>
      <c r="AD52" s="852"/>
      <c r="AE52" s="852"/>
      <c r="AF52" s="852"/>
      <c r="AG52" s="852"/>
      <c r="AH52" s="852"/>
      <c r="AI52" s="852"/>
      <c r="AJ52" s="852"/>
      <c r="AK52" s="852"/>
      <c r="AL52" s="852"/>
      <c r="AM52" s="852"/>
      <c r="AN52" s="852"/>
      <c r="AO52" s="852"/>
      <c r="AP52" s="852"/>
      <c r="AQ52" s="852"/>
      <c r="AR52" s="852"/>
      <c r="AS52" s="852"/>
      <c r="AT52" s="852"/>
      <c r="AU52" s="852"/>
      <c r="AV52" s="852"/>
      <c r="AW52" s="852"/>
      <c r="AX52" s="853"/>
      <c r="AY52" s="421"/>
      <c r="AZ52" s="418"/>
    </row>
    <row r="53" spans="3:52" ht="18" customHeight="1">
      <c r="C53" s="484"/>
      <c r="D53" s="851"/>
      <c r="E53" s="852"/>
      <c r="F53" s="852"/>
      <c r="G53" s="852"/>
      <c r="H53" s="852"/>
      <c r="I53" s="852"/>
      <c r="J53" s="852"/>
      <c r="K53" s="852"/>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2"/>
      <c r="AN53" s="852"/>
      <c r="AO53" s="852"/>
      <c r="AP53" s="852"/>
      <c r="AQ53" s="852"/>
      <c r="AR53" s="852"/>
      <c r="AS53" s="852"/>
      <c r="AT53" s="852"/>
      <c r="AU53" s="852"/>
      <c r="AV53" s="852"/>
      <c r="AW53" s="852"/>
      <c r="AX53" s="853"/>
      <c r="AY53" s="421"/>
      <c r="AZ53" s="418"/>
    </row>
    <row r="54" spans="3:52" ht="18" customHeight="1">
      <c r="C54" s="484"/>
      <c r="D54" s="851"/>
      <c r="E54" s="852"/>
      <c r="F54" s="852"/>
      <c r="G54" s="852"/>
      <c r="H54" s="852"/>
      <c r="I54" s="852"/>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852"/>
      <c r="AO54" s="852"/>
      <c r="AP54" s="852"/>
      <c r="AQ54" s="852"/>
      <c r="AR54" s="852"/>
      <c r="AS54" s="852"/>
      <c r="AT54" s="852"/>
      <c r="AU54" s="852"/>
      <c r="AV54" s="852"/>
      <c r="AW54" s="852"/>
      <c r="AX54" s="853"/>
      <c r="AY54" s="421"/>
      <c r="AZ54" s="418"/>
    </row>
    <row r="55" spans="3:52" ht="18" customHeight="1">
      <c r="C55" s="484"/>
      <c r="D55" s="851"/>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52"/>
      <c r="AP55" s="852"/>
      <c r="AQ55" s="852"/>
      <c r="AR55" s="852"/>
      <c r="AS55" s="852"/>
      <c r="AT55" s="852"/>
      <c r="AU55" s="852"/>
      <c r="AV55" s="852"/>
      <c r="AW55" s="852"/>
      <c r="AX55" s="853"/>
      <c r="AY55" s="421"/>
      <c r="AZ55" s="418"/>
    </row>
    <row r="56" spans="3:97" ht="18" customHeight="1">
      <c r="C56" s="484"/>
      <c r="D56" s="851"/>
      <c r="E56" s="852"/>
      <c r="F56" s="852"/>
      <c r="G56" s="852"/>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852"/>
      <c r="AL56" s="852"/>
      <c r="AM56" s="852"/>
      <c r="AN56" s="852"/>
      <c r="AO56" s="852"/>
      <c r="AP56" s="852"/>
      <c r="AQ56" s="852"/>
      <c r="AR56" s="852"/>
      <c r="AS56" s="852"/>
      <c r="AT56" s="852"/>
      <c r="AU56" s="852"/>
      <c r="AV56" s="852"/>
      <c r="AW56" s="852"/>
      <c r="AX56" s="853"/>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51"/>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3"/>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51"/>
      <c r="E58" s="852"/>
      <c r="F58" s="852"/>
      <c r="G58" s="852"/>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3"/>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51"/>
      <c r="E59" s="852"/>
      <c r="F59" s="852"/>
      <c r="G59" s="852"/>
      <c r="H59" s="852"/>
      <c r="I59" s="852"/>
      <c r="J59" s="852"/>
      <c r="K59" s="852"/>
      <c r="L59" s="852"/>
      <c r="M59" s="852"/>
      <c r="N59" s="852"/>
      <c r="O59" s="852"/>
      <c r="P59" s="852"/>
      <c r="Q59" s="852"/>
      <c r="R59" s="852"/>
      <c r="S59" s="852"/>
      <c r="T59" s="852"/>
      <c r="U59" s="852"/>
      <c r="V59" s="852"/>
      <c r="W59" s="852"/>
      <c r="X59" s="852"/>
      <c r="Y59" s="852"/>
      <c r="Z59" s="852"/>
      <c r="AA59" s="852"/>
      <c r="AB59" s="852"/>
      <c r="AC59" s="852"/>
      <c r="AD59" s="852"/>
      <c r="AE59" s="852"/>
      <c r="AF59" s="852"/>
      <c r="AG59" s="852"/>
      <c r="AH59" s="852"/>
      <c r="AI59" s="852"/>
      <c r="AJ59" s="852"/>
      <c r="AK59" s="852"/>
      <c r="AL59" s="852"/>
      <c r="AM59" s="852"/>
      <c r="AN59" s="852"/>
      <c r="AO59" s="852"/>
      <c r="AP59" s="852"/>
      <c r="AQ59" s="852"/>
      <c r="AR59" s="852"/>
      <c r="AS59" s="852"/>
      <c r="AT59" s="852"/>
      <c r="AU59" s="852"/>
      <c r="AV59" s="852"/>
      <c r="AW59" s="852"/>
      <c r="AX59" s="853"/>
      <c r="AY59" s="421"/>
      <c r="CT59" s="382"/>
    </row>
    <row r="60" spans="3:51" ht="18" customHeight="1">
      <c r="C60" s="484"/>
      <c r="D60" s="851"/>
      <c r="E60" s="852"/>
      <c r="F60" s="852"/>
      <c r="G60" s="852"/>
      <c r="H60" s="852"/>
      <c r="I60" s="852"/>
      <c r="J60" s="852"/>
      <c r="K60" s="852"/>
      <c r="L60" s="852"/>
      <c r="M60" s="852"/>
      <c r="N60" s="852"/>
      <c r="O60" s="852"/>
      <c r="P60" s="852"/>
      <c r="Q60" s="852"/>
      <c r="R60" s="852"/>
      <c r="S60" s="852"/>
      <c r="T60" s="852"/>
      <c r="U60" s="852"/>
      <c r="V60" s="852"/>
      <c r="W60" s="852"/>
      <c r="X60" s="852"/>
      <c r="Y60" s="852"/>
      <c r="Z60" s="852"/>
      <c r="AA60" s="852"/>
      <c r="AB60" s="852"/>
      <c r="AC60" s="852"/>
      <c r="AD60" s="852"/>
      <c r="AE60" s="852"/>
      <c r="AF60" s="852"/>
      <c r="AG60" s="852"/>
      <c r="AH60" s="852"/>
      <c r="AI60" s="852"/>
      <c r="AJ60" s="852"/>
      <c r="AK60" s="852"/>
      <c r="AL60" s="852"/>
      <c r="AM60" s="852"/>
      <c r="AN60" s="852"/>
      <c r="AO60" s="852"/>
      <c r="AP60" s="852"/>
      <c r="AQ60" s="852"/>
      <c r="AR60" s="852"/>
      <c r="AS60" s="852"/>
      <c r="AT60" s="852"/>
      <c r="AU60" s="852"/>
      <c r="AV60" s="852"/>
      <c r="AW60" s="852"/>
      <c r="AX60" s="853"/>
      <c r="AY60" s="421"/>
    </row>
    <row r="61" spans="3:51" ht="18" customHeight="1">
      <c r="C61" s="484"/>
      <c r="D61" s="851"/>
      <c r="E61" s="852"/>
      <c r="F61" s="852"/>
      <c r="G61" s="852"/>
      <c r="H61" s="852"/>
      <c r="I61" s="852"/>
      <c r="J61" s="852"/>
      <c r="K61" s="852"/>
      <c r="L61" s="852"/>
      <c r="M61" s="852"/>
      <c r="N61" s="852"/>
      <c r="O61" s="852"/>
      <c r="P61" s="852"/>
      <c r="Q61" s="852"/>
      <c r="R61" s="852"/>
      <c r="S61" s="852"/>
      <c r="T61" s="852"/>
      <c r="U61" s="852"/>
      <c r="V61" s="852"/>
      <c r="W61" s="852"/>
      <c r="X61" s="852"/>
      <c r="Y61" s="852"/>
      <c r="Z61" s="852"/>
      <c r="AA61" s="852"/>
      <c r="AB61" s="852"/>
      <c r="AC61" s="852"/>
      <c r="AD61" s="852"/>
      <c r="AE61" s="852"/>
      <c r="AF61" s="852"/>
      <c r="AG61" s="852"/>
      <c r="AH61" s="852"/>
      <c r="AI61" s="852"/>
      <c r="AJ61" s="852"/>
      <c r="AK61" s="852"/>
      <c r="AL61" s="852"/>
      <c r="AM61" s="852"/>
      <c r="AN61" s="852"/>
      <c r="AO61" s="852"/>
      <c r="AP61" s="852"/>
      <c r="AQ61" s="852"/>
      <c r="AR61" s="852"/>
      <c r="AS61" s="852"/>
      <c r="AT61" s="852"/>
      <c r="AU61" s="852"/>
      <c r="AV61" s="852"/>
      <c r="AW61" s="852"/>
      <c r="AX61" s="853"/>
      <c r="AY61" s="421"/>
    </row>
    <row r="62" spans="3:51" ht="18" customHeight="1">
      <c r="C62" s="484"/>
      <c r="D62" s="851"/>
      <c r="E62" s="852"/>
      <c r="F62" s="852"/>
      <c r="G62" s="852"/>
      <c r="H62" s="852"/>
      <c r="I62" s="852"/>
      <c r="J62" s="852"/>
      <c r="K62" s="852"/>
      <c r="L62" s="852"/>
      <c r="M62" s="852"/>
      <c r="N62" s="852"/>
      <c r="O62" s="852"/>
      <c r="P62" s="852"/>
      <c r="Q62" s="852"/>
      <c r="R62" s="852"/>
      <c r="S62" s="852"/>
      <c r="T62" s="852"/>
      <c r="U62" s="852"/>
      <c r="V62" s="852"/>
      <c r="W62" s="852"/>
      <c r="X62" s="852"/>
      <c r="Y62" s="852"/>
      <c r="Z62" s="852"/>
      <c r="AA62" s="852"/>
      <c r="AB62" s="852"/>
      <c r="AC62" s="852"/>
      <c r="AD62" s="852"/>
      <c r="AE62" s="852"/>
      <c r="AF62" s="852"/>
      <c r="AG62" s="852"/>
      <c r="AH62" s="852"/>
      <c r="AI62" s="852"/>
      <c r="AJ62" s="852"/>
      <c r="AK62" s="852"/>
      <c r="AL62" s="852"/>
      <c r="AM62" s="852"/>
      <c r="AN62" s="852"/>
      <c r="AO62" s="852"/>
      <c r="AP62" s="852"/>
      <c r="AQ62" s="852"/>
      <c r="AR62" s="852"/>
      <c r="AS62" s="852"/>
      <c r="AT62" s="852"/>
      <c r="AU62" s="852"/>
      <c r="AV62" s="852"/>
      <c r="AW62" s="852"/>
      <c r="AX62" s="853"/>
      <c r="AY62" s="421"/>
    </row>
    <row r="63" spans="3:51" ht="18" customHeight="1">
      <c r="C63" s="484"/>
      <c r="D63" s="851"/>
      <c r="E63" s="852"/>
      <c r="F63" s="852"/>
      <c r="G63" s="852"/>
      <c r="H63" s="852"/>
      <c r="I63" s="852"/>
      <c r="J63" s="852"/>
      <c r="K63" s="852"/>
      <c r="L63" s="852"/>
      <c r="M63" s="852"/>
      <c r="N63" s="852"/>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2"/>
      <c r="AR63" s="852"/>
      <c r="AS63" s="852"/>
      <c r="AT63" s="852"/>
      <c r="AU63" s="852"/>
      <c r="AV63" s="852"/>
      <c r="AW63" s="852"/>
      <c r="AX63" s="853"/>
      <c r="AY63" s="421"/>
    </row>
    <row r="64" spans="3:51" ht="18" customHeight="1">
      <c r="C64" s="484"/>
      <c r="D64" s="851"/>
      <c r="E64" s="852"/>
      <c r="F64" s="852"/>
      <c r="G64" s="852"/>
      <c r="H64" s="852"/>
      <c r="I64" s="852"/>
      <c r="J64" s="852"/>
      <c r="K64" s="852"/>
      <c r="L64" s="852"/>
      <c r="M64" s="852"/>
      <c r="N64" s="852"/>
      <c r="O64" s="852"/>
      <c r="P64" s="852"/>
      <c r="Q64" s="852"/>
      <c r="R64" s="852"/>
      <c r="S64" s="852"/>
      <c r="T64" s="852"/>
      <c r="U64" s="852"/>
      <c r="V64" s="852"/>
      <c r="W64" s="852"/>
      <c r="X64" s="852"/>
      <c r="Y64" s="852"/>
      <c r="Z64" s="852"/>
      <c r="AA64" s="852"/>
      <c r="AB64" s="852"/>
      <c r="AC64" s="852"/>
      <c r="AD64" s="852"/>
      <c r="AE64" s="852"/>
      <c r="AF64" s="852"/>
      <c r="AG64" s="852"/>
      <c r="AH64" s="852"/>
      <c r="AI64" s="852"/>
      <c r="AJ64" s="852"/>
      <c r="AK64" s="852"/>
      <c r="AL64" s="852"/>
      <c r="AM64" s="852"/>
      <c r="AN64" s="852"/>
      <c r="AO64" s="852"/>
      <c r="AP64" s="852"/>
      <c r="AQ64" s="852"/>
      <c r="AR64" s="852"/>
      <c r="AS64" s="852"/>
      <c r="AT64" s="852"/>
      <c r="AU64" s="852"/>
      <c r="AV64" s="852"/>
      <c r="AW64" s="852"/>
      <c r="AX64" s="853"/>
      <c r="AY64" s="421"/>
    </row>
    <row r="65" spans="3:51" ht="18" customHeight="1">
      <c r="C65" s="484"/>
      <c r="D65" s="851"/>
      <c r="E65" s="852"/>
      <c r="F65" s="852"/>
      <c r="G65" s="852"/>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c r="AT65" s="852"/>
      <c r="AU65" s="852"/>
      <c r="AV65" s="852"/>
      <c r="AW65" s="852"/>
      <c r="AX65" s="853"/>
      <c r="AY65" s="421"/>
    </row>
    <row r="66" spans="3:51" ht="18" customHeight="1">
      <c r="C66" s="484"/>
      <c r="D66" s="851"/>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2"/>
      <c r="AQ66" s="852"/>
      <c r="AR66" s="852"/>
      <c r="AS66" s="852"/>
      <c r="AT66" s="852"/>
      <c r="AU66" s="852"/>
      <c r="AV66" s="852"/>
      <c r="AW66" s="852"/>
      <c r="AX66" s="853"/>
      <c r="AY66" s="421"/>
    </row>
    <row r="67" spans="3:51" ht="18" customHeight="1">
      <c r="C67" s="484"/>
      <c r="D67" s="851"/>
      <c r="E67" s="852"/>
      <c r="F67" s="852"/>
      <c r="G67" s="852"/>
      <c r="H67" s="852"/>
      <c r="I67" s="852"/>
      <c r="J67" s="852"/>
      <c r="K67" s="852"/>
      <c r="L67" s="852"/>
      <c r="M67" s="852"/>
      <c r="N67" s="852"/>
      <c r="O67" s="852"/>
      <c r="P67" s="852"/>
      <c r="Q67" s="852"/>
      <c r="R67" s="852"/>
      <c r="S67" s="852"/>
      <c r="T67" s="852"/>
      <c r="U67" s="852"/>
      <c r="V67" s="852"/>
      <c r="W67" s="852"/>
      <c r="X67" s="852"/>
      <c r="Y67" s="852"/>
      <c r="Z67" s="852"/>
      <c r="AA67" s="852"/>
      <c r="AB67" s="852"/>
      <c r="AC67" s="852"/>
      <c r="AD67" s="852"/>
      <c r="AE67" s="852"/>
      <c r="AF67" s="852"/>
      <c r="AG67" s="852"/>
      <c r="AH67" s="852"/>
      <c r="AI67" s="852"/>
      <c r="AJ67" s="852"/>
      <c r="AK67" s="852"/>
      <c r="AL67" s="852"/>
      <c r="AM67" s="852"/>
      <c r="AN67" s="852"/>
      <c r="AO67" s="852"/>
      <c r="AP67" s="852"/>
      <c r="AQ67" s="852"/>
      <c r="AR67" s="852"/>
      <c r="AS67" s="852"/>
      <c r="AT67" s="852"/>
      <c r="AU67" s="852"/>
      <c r="AV67" s="852"/>
      <c r="AW67" s="852"/>
      <c r="AX67" s="853"/>
      <c r="AY67" s="421"/>
    </row>
    <row r="68" spans="3:51" ht="18" customHeight="1">
      <c r="C68" s="484"/>
      <c r="D68" s="851"/>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3"/>
      <c r="AY68" s="421"/>
    </row>
    <row r="69" spans="3:51" ht="18" customHeight="1">
      <c r="C69" s="521"/>
      <c r="D69" s="851"/>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c r="AT69" s="852"/>
      <c r="AU69" s="852"/>
      <c r="AV69" s="852"/>
      <c r="AW69" s="852"/>
      <c r="AX69" s="853"/>
      <c r="AY69" s="421"/>
    </row>
    <row r="70" spans="3:51" ht="18" customHeight="1">
      <c r="C70" s="519"/>
      <c r="D70" s="861"/>
      <c r="E70" s="862"/>
      <c r="F70" s="862"/>
      <c r="G70" s="862"/>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862"/>
      <c r="AV70" s="862"/>
      <c r="AW70" s="862"/>
      <c r="AX70" s="863"/>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formatCells="0" formatColumns="0" formatRows="0" insertColumns="0" insertRows="0" insertHyperlink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1">
      <selection activeCell="D3" sqref="D3"/>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242</v>
      </c>
      <c r="C3" s="299" t="s">
        <v>296</v>
      </c>
      <c r="D3" s="29" t="s">
        <v>370</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68" t="s">
        <v>207</v>
      </c>
      <c r="D5" s="868"/>
      <c r="E5" s="901"/>
      <c r="F5" s="901"/>
      <c r="G5" s="901"/>
      <c r="H5" s="901"/>
      <c r="I5" s="870"/>
      <c r="J5" s="870"/>
      <c r="K5" s="870"/>
      <c r="L5" s="870"/>
      <c r="M5" s="870"/>
      <c r="N5" s="870"/>
      <c r="O5" s="870"/>
      <c r="P5" s="870"/>
      <c r="Q5" s="870"/>
      <c r="R5" s="870"/>
      <c r="S5" s="870"/>
      <c r="T5" s="870"/>
      <c r="U5" s="870"/>
      <c r="V5" s="870"/>
      <c r="W5" s="870"/>
      <c r="X5" s="901"/>
      <c r="Y5" s="870"/>
      <c r="Z5" s="901"/>
      <c r="AA5" s="870"/>
      <c r="AB5" s="901"/>
      <c r="AC5" s="870"/>
      <c r="AD5" s="901"/>
      <c r="AE5" s="870"/>
      <c r="AF5" s="901"/>
      <c r="AG5" s="870"/>
      <c r="AH5" s="901"/>
      <c r="AI5" s="870"/>
      <c r="AJ5" s="870"/>
      <c r="AK5" s="870"/>
      <c r="AL5" s="901"/>
      <c r="AM5" s="870"/>
      <c r="AN5" s="901"/>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c r="AK11" s="525"/>
      <c r="AL11" s="539"/>
      <c r="AM11" s="525"/>
      <c r="AN11" s="539"/>
      <c r="AO11" s="525"/>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c r="AO14" s="525"/>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539"/>
      <c r="AG15" s="525"/>
      <c r="AH15" s="539"/>
      <c r="AI15" s="525"/>
      <c r="AJ15" s="539"/>
      <c r="AK15" s="525"/>
      <c r="AL15" s="539"/>
      <c r="AM15" s="525"/>
      <c r="AN15" s="539"/>
      <c r="AO15" s="525"/>
      <c r="AP15" s="539"/>
      <c r="AQ15" s="525"/>
      <c r="AR15" s="539"/>
      <c r="AS15" s="525"/>
      <c r="AT15" s="539"/>
      <c r="AU15" s="525"/>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539"/>
      <c r="AG16" s="525"/>
      <c r="AH16" s="539"/>
      <c r="AI16" s="525"/>
      <c r="AJ16" s="539"/>
      <c r="AK16" s="525"/>
      <c r="AL16" s="539"/>
      <c r="AM16" s="525"/>
      <c r="AN16" s="539"/>
      <c r="AO16" s="525"/>
      <c r="AP16" s="539"/>
      <c r="AQ16" s="525"/>
      <c r="AR16" s="539"/>
      <c r="AS16" s="525"/>
      <c r="AT16" s="539"/>
      <c r="AU16" s="525"/>
      <c r="AV16" s="539"/>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c r="AE17" s="525"/>
      <c r="AF17" s="539"/>
      <c r="AG17" s="525"/>
      <c r="AH17" s="539"/>
      <c r="AI17" s="525"/>
      <c r="AJ17" s="539"/>
      <c r="AK17" s="525"/>
      <c r="AL17" s="539"/>
      <c r="AM17" s="525"/>
      <c r="AN17" s="539"/>
      <c r="AO17" s="525"/>
      <c r="AP17" s="539"/>
      <c r="AQ17" s="525"/>
      <c r="AR17" s="539"/>
      <c r="AS17" s="525"/>
      <c r="AT17" s="539"/>
      <c r="AU17" s="525"/>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c r="AE18" s="525"/>
      <c r="AF18" s="539"/>
      <c r="AG18" s="525"/>
      <c r="AH18" s="539"/>
      <c r="AI18" s="525"/>
      <c r="AJ18" s="539"/>
      <c r="AK18" s="525"/>
      <c r="AL18" s="539"/>
      <c r="AM18" s="525"/>
      <c r="AN18" s="539"/>
      <c r="AO18" s="525"/>
      <c r="AP18" s="539"/>
      <c r="AQ18" s="525"/>
      <c r="AR18" s="539"/>
      <c r="AS18" s="525"/>
      <c r="AT18" s="539"/>
      <c r="AU18" s="525"/>
      <c r="AV18" s="539"/>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c r="AE19" s="525"/>
      <c r="AF19" s="539"/>
      <c r="AG19" s="525"/>
      <c r="AH19" s="539"/>
      <c r="AI19" s="525"/>
      <c r="AJ19" s="539"/>
      <c r="AK19" s="525"/>
      <c r="AL19" s="539"/>
      <c r="AM19" s="525"/>
      <c r="AN19" s="539"/>
      <c r="AO19" s="525"/>
      <c r="AP19" s="539"/>
      <c r="AQ19" s="525"/>
      <c r="AR19" s="539"/>
      <c r="AS19" s="525"/>
      <c r="AT19" s="539"/>
      <c r="AU19" s="525"/>
      <c r="AV19" s="539"/>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42" t="s">
        <v>254</v>
      </c>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c r="AH30" s="842"/>
      <c r="AI30" s="842"/>
      <c r="AJ30" s="842"/>
      <c r="AK30" s="842"/>
      <c r="AL30" s="842"/>
      <c r="AM30" s="842"/>
      <c r="AN30" s="842"/>
      <c r="AO30" s="842"/>
      <c r="AP30" s="842"/>
      <c r="AQ30" s="842"/>
      <c r="AR30" s="842"/>
      <c r="AS30" s="842"/>
      <c r="AT30" s="842"/>
      <c r="AU30" s="842"/>
      <c r="AV30" s="842"/>
      <c r="AW30" s="842"/>
      <c r="AX30" s="842"/>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38" t="s">
        <v>143</v>
      </c>
      <c r="E31" s="838"/>
      <c r="F31" s="838"/>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c r="AP31" s="838"/>
      <c r="AQ31" s="838"/>
      <c r="AR31" s="838"/>
      <c r="AS31" s="838"/>
      <c r="AT31" s="838"/>
      <c r="AU31" s="838"/>
      <c r="AV31" s="838"/>
      <c r="AW31" s="838"/>
      <c r="AX31" s="838"/>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0</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42" t="s">
        <v>110</v>
      </c>
      <c r="E32" s="842"/>
      <c r="F32" s="842"/>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2"/>
      <c r="AJ32" s="842"/>
      <c r="AK32" s="842"/>
      <c r="AL32" s="842"/>
      <c r="AM32" s="842"/>
      <c r="AN32" s="842"/>
      <c r="AO32" s="842"/>
      <c r="AP32" s="842"/>
      <c r="AQ32" s="842"/>
      <c r="AR32" s="842"/>
      <c r="AS32" s="842"/>
      <c r="AT32" s="842"/>
      <c r="AU32" s="842"/>
      <c r="AV32" s="842"/>
      <c r="AW32" s="842"/>
      <c r="AX32" s="842"/>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0</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57"/>
      <c r="E33" s="857"/>
      <c r="F33" s="857"/>
      <c r="G33" s="857"/>
      <c r="H33" s="857"/>
      <c r="I33" s="857"/>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24" t="str">
        <f>D17&amp;" (W4,10)"</f>
        <v>Wastewater treated in urban wastewater treatment plants (W4,10)</v>
      </c>
      <c r="V34" s="925"/>
      <c r="W34" s="925"/>
      <c r="X34" s="925"/>
      <c r="Y34" s="925"/>
      <c r="Z34" s="925"/>
      <c r="AA34" s="925"/>
      <c r="AB34" s="926"/>
      <c r="AC34" s="248"/>
      <c r="AD34" s="248"/>
      <c r="AE34" s="248"/>
      <c r="AF34" s="248"/>
      <c r="AG34" s="248"/>
      <c r="AH34" s="248"/>
      <c r="AI34" s="253"/>
      <c r="AJ34" s="448"/>
      <c r="AK34" s="448"/>
      <c r="AL34" s="448"/>
      <c r="AM34" s="843"/>
      <c r="AN34" s="843"/>
      <c r="AO34" s="843"/>
      <c r="AP34" s="843"/>
      <c r="AQ34" s="843"/>
      <c r="AR34" s="843"/>
      <c r="AS34" s="843"/>
      <c r="AT34" s="843"/>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0</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20" t="str">
        <f>D8&amp;" (W4,1)"</f>
        <v>Total wastewater generated (W4,1)</v>
      </c>
      <c r="K38" s="914"/>
      <c r="L38" s="914"/>
      <c r="M38" s="914"/>
      <c r="N38" s="915"/>
      <c r="O38" s="248"/>
      <c r="P38" s="248"/>
      <c r="Q38" s="248"/>
      <c r="R38" s="248"/>
      <c r="S38" s="248"/>
      <c r="T38" s="248"/>
      <c r="U38" s="924" t="str">
        <f>D21&amp;" (W4,14)"</f>
        <v>Wastewater treated in other treatment plants (W4,14)</v>
      </c>
      <c r="V38" s="925"/>
      <c r="W38" s="925"/>
      <c r="X38" s="925"/>
      <c r="Y38" s="925"/>
      <c r="Z38" s="925"/>
      <c r="AA38" s="925"/>
      <c r="AB38" s="926"/>
      <c r="AC38" s="559"/>
      <c r="AD38" s="559"/>
      <c r="AE38" s="559"/>
      <c r="AF38" s="559"/>
      <c r="AG38" s="559"/>
      <c r="AH38" s="248"/>
      <c r="AI38" s="451"/>
      <c r="AJ38" s="451"/>
      <c r="AK38" s="451"/>
      <c r="AL38" s="451"/>
      <c r="AM38" s="843"/>
      <c r="AN38" s="843"/>
      <c r="AO38" s="843"/>
      <c r="AP38" s="843"/>
      <c r="AQ38" s="843"/>
      <c r="AR38" s="843"/>
      <c r="AS38" s="843"/>
      <c r="AT38" s="843"/>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0</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21"/>
      <c r="K39" s="922"/>
      <c r="L39" s="922"/>
      <c r="M39" s="922"/>
      <c r="N39" s="923"/>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21"/>
      <c r="K40" s="922"/>
      <c r="L40" s="922"/>
      <c r="M40" s="922"/>
      <c r="N40" s="923"/>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43"/>
      <c r="AN40" s="843"/>
      <c r="AO40" s="843"/>
      <c r="AP40" s="843"/>
      <c r="AQ40" s="843"/>
      <c r="AR40" s="843"/>
      <c r="AS40" s="843"/>
      <c r="AT40" s="843"/>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916"/>
      <c r="K41" s="917"/>
      <c r="L41" s="917"/>
      <c r="M41" s="917"/>
      <c r="N41" s="918"/>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24" t="str">
        <f>D25&amp;" (W4,18)"</f>
        <v>Wastewater treated in independent treatment facilities (W4,18)</v>
      </c>
      <c r="V42" s="925"/>
      <c r="W42" s="925"/>
      <c r="X42" s="925"/>
      <c r="Y42" s="925"/>
      <c r="Z42" s="925"/>
      <c r="AA42" s="925"/>
      <c r="AB42" s="926"/>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43"/>
      <c r="AN44" s="843"/>
      <c r="AO44" s="843"/>
      <c r="AP44" s="843"/>
      <c r="AQ44" s="843"/>
      <c r="AR44" s="843"/>
      <c r="AS44" s="843"/>
      <c r="AT44" s="843"/>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24" t="str">
        <f>D26&amp;" (W4,19)"</f>
        <v>Non-treated wastewater (W4,19)</v>
      </c>
      <c r="V46" s="925"/>
      <c r="W46" s="925"/>
      <c r="X46" s="925"/>
      <c r="Y46" s="925"/>
      <c r="Z46" s="925"/>
      <c r="AA46" s="925"/>
      <c r="AB46" s="926"/>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c r="B51" s="163"/>
      <c r="C51" s="484"/>
      <c r="D51" s="839"/>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1"/>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3:98" ht="18" customHeight="1">
      <c r="C52" s="484"/>
      <c r="D52" s="851"/>
      <c r="E52" s="852"/>
      <c r="F52" s="852"/>
      <c r="G52" s="852"/>
      <c r="H52" s="852"/>
      <c r="I52" s="852"/>
      <c r="J52" s="852"/>
      <c r="K52" s="852"/>
      <c r="L52" s="852"/>
      <c r="M52" s="852"/>
      <c r="N52" s="852"/>
      <c r="O52" s="852"/>
      <c r="P52" s="852"/>
      <c r="Q52" s="852"/>
      <c r="R52" s="852"/>
      <c r="S52" s="852"/>
      <c r="T52" s="852"/>
      <c r="U52" s="852"/>
      <c r="V52" s="852"/>
      <c r="W52" s="852"/>
      <c r="X52" s="852"/>
      <c r="Y52" s="852"/>
      <c r="Z52" s="852"/>
      <c r="AA52" s="852"/>
      <c r="AB52" s="852"/>
      <c r="AC52" s="852"/>
      <c r="AD52" s="852"/>
      <c r="AE52" s="852"/>
      <c r="AF52" s="852"/>
      <c r="AG52" s="852"/>
      <c r="AH52" s="852"/>
      <c r="AI52" s="852"/>
      <c r="AJ52" s="852"/>
      <c r="AK52" s="852"/>
      <c r="AL52" s="852"/>
      <c r="AM52" s="852"/>
      <c r="AN52" s="852"/>
      <c r="AO52" s="852"/>
      <c r="AP52" s="852"/>
      <c r="AQ52" s="852"/>
      <c r="AR52" s="852"/>
      <c r="AS52" s="852"/>
      <c r="AT52" s="852"/>
      <c r="AU52" s="852"/>
      <c r="AV52" s="852"/>
      <c r="AW52" s="852"/>
      <c r="AX52" s="853"/>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3:98" ht="18" customHeight="1">
      <c r="C53" s="484"/>
      <c r="D53" s="851"/>
      <c r="E53" s="852"/>
      <c r="F53" s="852"/>
      <c r="G53" s="852"/>
      <c r="H53" s="852"/>
      <c r="I53" s="852"/>
      <c r="J53" s="852"/>
      <c r="K53" s="852"/>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2"/>
      <c r="AN53" s="852"/>
      <c r="AO53" s="852"/>
      <c r="AP53" s="852"/>
      <c r="AQ53" s="852"/>
      <c r="AR53" s="852"/>
      <c r="AS53" s="852"/>
      <c r="AT53" s="852"/>
      <c r="AU53" s="852"/>
      <c r="AV53" s="852"/>
      <c r="AW53" s="852"/>
      <c r="AX53" s="853"/>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51"/>
      <c r="E54" s="852"/>
      <c r="F54" s="852"/>
      <c r="G54" s="852"/>
      <c r="H54" s="852"/>
      <c r="I54" s="852"/>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852"/>
      <c r="AO54" s="852"/>
      <c r="AP54" s="852"/>
      <c r="AQ54" s="852"/>
      <c r="AR54" s="852"/>
      <c r="AS54" s="852"/>
      <c r="AT54" s="852"/>
      <c r="AU54" s="852"/>
      <c r="AV54" s="852"/>
      <c r="AW54" s="852"/>
      <c r="AX54" s="853"/>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51"/>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52"/>
      <c r="AP55" s="852"/>
      <c r="AQ55" s="852"/>
      <c r="AR55" s="852"/>
      <c r="AS55" s="852"/>
      <c r="AT55" s="852"/>
      <c r="AU55" s="852"/>
      <c r="AV55" s="852"/>
      <c r="AW55" s="852"/>
      <c r="AX55" s="853"/>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51"/>
      <c r="E56" s="852"/>
      <c r="F56" s="852"/>
      <c r="G56" s="852"/>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852"/>
      <c r="AL56" s="852"/>
      <c r="AM56" s="852"/>
      <c r="AN56" s="852"/>
      <c r="AO56" s="852"/>
      <c r="AP56" s="852"/>
      <c r="AQ56" s="852"/>
      <c r="AR56" s="852"/>
      <c r="AS56" s="852"/>
      <c r="AT56" s="852"/>
      <c r="AU56" s="852"/>
      <c r="AV56" s="852"/>
      <c r="AW56" s="852"/>
      <c r="AX56" s="853"/>
    </row>
    <row r="57" spans="3:50" ht="18" customHeight="1">
      <c r="C57" s="484"/>
      <c r="D57" s="851"/>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3"/>
    </row>
    <row r="58" spans="3:50" ht="18" customHeight="1">
      <c r="C58" s="484"/>
      <c r="D58" s="851"/>
      <c r="E58" s="852"/>
      <c r="F58" s="852"/>
      <c r="G58" s="852"/>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3"/>
    </row>
    <row r="59" spans="3:50" ht="18" customHeight="1">
      <c r="C59" s="484"/>
      <c r="D59" s="839"/>
      <c r="E59" s="840"/>
      <c r="F59" s="840"/>
      <c r="G59" s="840"/>
      <c r="H59" s="840"/>
      <c r="I59" s="840"/>
      <c r="J59" s="840"/>
      <c r="K59" s="840"/>
      <c r="L59" s="840"/>
      <c r="M59" s="840"/>
      <c r="N59" s="840"/>
      <c r="O59" s="840"/>
      <c r="P59" s="840"/>
      <c r="Q59" s="840"/>
      <c r="R59" s="840"/>
      <c r="S59" s="840"/>
      <c r="T59" s="840"/>
      <c r="U59" s="840"/>
      <c r="V59" s="840"/>
      <c r="W59" s="840"/>
      <c r="X59" s="840"/>
      <c r="Y59" s="840"/>
      <c r="Z59" s="840"/>
      <c r="AA59" s="840"/>
      <c r="AB59" s="840"/>
      <c r="AC59" s="840"/>
      <c r="AD59" s="840"/>
      <c r="AE59" s="840"/>
      <c r="AF59" s="840"/>
      <c r="AG59" s="840"/>
      <c r="AH59" s="840"/>
      <c r="AI59" s="840"/>
      <c r="AJ59" s="840"/>
      <c r="AK59" s="840"/>
      <c r="AL59" s="840"/>
      <c r="AM59" s="840"/>
      <c r="AN59" s="840"/>
      <c r="AO59" s="840"/>
      <c r="AP59" s="840"/>
      <c r="AQ59" s="840"/>
      <c r="AR59" s="840"/>
      <c r="AS59" s="840"/>
      <c r="AT59" s="840"/>
      <c r="AU59" s="840"/>
      <c r="AV59" s="840"/>
      <c r="AW59" s="840"/>
      <c r="AX59" s="841"/>
    </row>
    <row r="60" spans="3:50" ht="18" customHeight="1">
      <c r="C60" s="484"/>
      <c r="D60" s="851"/>
      <c r="E60" s="852"/>
      <c r="F60" s="852"/>
      <c r="G60" s="852"/>
      <c r="H60" s="852"/>
      <c r="I60" s="852"/>
      <c r="J60" s="852"/>
      <c r="K60" s="852"/>
      <c r="L60" s="852"/>
      <c r="M60" s="852"/>
      <c r="N60" s="852"/>
      <c r="O60" s="852"/>
      <c r="P60" s="852"/>
      <c r="Q60" s="852"/>
      <c r="R60" s="852"/>
      <c r="S60" s="852"/>
      <c r="T60" s="852"/>
      <c r="U60" s="852"/>
      <c r="V60" s="852"/>
      <c r="W60" s="852"/>
      <c r="X60" s="852"/>
      <c r="Y60" s="852"/>
      <c r="Z60" s="852"/>
      <c r="AA60" s="852"/>
      <c r="AB60" s="852"/>
      <c r="AC60" s="852"/>
      <c r="AD60" s="852"/>
      <c r="AE60" s="852"/>
      <c r="AF60" s="852"/>
      <c r="AG60" s="852"/>
      <c r="AH60" s="852"/>
      <c r="AI60" s="852"/>
      <c r="AJ60" s="852"/>
      <c r="AK60" s="852"/>
      <c r="AL60" s="852"/>
      <c r="AM60" s="852"/>
      <c r="AN60" s="852"/>
      <c r="AO60" s="852"/>
      <c r="AP60" s="852"/>
      <c r="AQ60" s="852"/>
      <c r="AR60" s="852"/>
      <c r="AS60" s="852"/>
      <c r="AT60" s="852"/>
      <c r="AU60" s="852"/>
      <c r="AV60" s="852"/>
      <c r="AW60" s="852"/>
      <c r="AX60" s="853"/>
    </row>
    <row r="61" spans="3:50" ht="18" customHeight="1">
      <c r="C61" s="484"/>
      <c r="D61" s="851"/>
      <c r="E61" s="852"/>
      <c r="F61" s="852"/>
      <c r="G61" s="852"/>
      <c r="H61" s="852"/>
      <c r="I61" s="852"/>
      <c r="J61" s="852"/>
      <c r="K61" s="852"/>
      <c r="L61" s="852"/>
      <c r="M61" s="852"/>
      <c r="N61" s="852"/>
      <c r="O61" s="852"/>
      <c r="P61" s="852"/>
      <c r="Q61" s="852"/>
      <c r="R61" s="852"/>
      <c r="S61" s="852"/>
      <c r="T61" s="852"/>
      <c r="U61" s="852"/>
      <c r="V61" s="852"/>
      <c r="W61" s="852"/>
      <c r="X61" s="852"/>
      <c r="Y61" s="852"/>
      <c r="Z61" s="852"/>
      <c r="AA61" s="852"/>
      <c r="AB61" s="852"/>
      <c r="AC61" s="852"/>
      <c r="AD61" s="852"/>
      <c r="AE61" s="852"/>
      <c r="AF61" s="852"/>
      <c r="AG61" s="852"/>
      <c r="AH61" s="852"/>
      <c r="AI61" s="852"/>
      <c r="AJ61" s="852"/>
      <c r="AK61" s="852"/>
      <c r="AL61" s="852"/>
      <c r="AM61" s="852"/>
      <c r="AN61" s="852"/>
      <c r="AO61" s="852"/>
      <c r="AP61" s="852"/>
      <c r="AQ61" s="852"/>
      <c r="AR61" s="852"/>
      <c r="AS61" s="852"/>
      <c r="AT61" s="852"/>
      <c r="AU61" s="852"/>
      <c r="AV61" s="852"/>
      <c r="AW61" s="852"/>
      <c r="AX61" s="853"/>
    </row>
    <row r="62" spans="3:50" ht="18" customHeight="1">
      <c r="C62" s="484"/>
      <c r="D62" s="851"/>
      <c r="E62" s="852"/>
      <c r="F62" s="852"/>
      <c r="G62" s="852"/>
      <c r="H62" s="852"/>
      <c r="I62" s="852"/>
      <c r="J62" s="852"/>
      <c r="K62" s="852"/>
      <c r="L62" s="852"/>
      <c r="M62" s="852"/>
      <c r="N62" s="852"/>
      <c r="O62" s="852"/>
      <c r="P62" s="852"/>
      <c r="Q62" s="852"/>
      <c r="R62" s="852"/>
      <c r="S62" s="852"/>
      <c r="T62" s="852"/>
      <c r="U62" s="852"/>
      <c r="V62" s="852"/>
      <c r="W62" s="852"/>
      <c r="X62" s="852"/>
      <c r="Y62" s="852"/>
      <c r="Z62" s="852"/>
      <c r="AA62" s="852"/>
      <c r="AB62" s="852"/>
      <c r="AC62" s="852"/>
      <c r="AD62" s="852"/>
      <c r="AE62" s="852"/>
      <c r="AF62" s="852"/>
      <c r="AG62" s="852"/>
      <c r="AH62" s="852"/>
      <c r="AI62" s="852"/>
      <c r="AJ62" s="852"/>
      <c r="AK62" s="852"/>
      <c r="AL62" s="852"/>
      <c r="AM62" s="852"/>
      <c r="AN62" s="852"/>
      <c r="AO62" s="852"/>
      <c r="AP62" s="852"/>
      <c r="AQ62" s="852"/>
      <c r="AR62" s="852"/>
      <c r="AS62" s="852"/>
      <c r="AT62" s="852"/>
      <c r="AU62" s="852"/>
      <c r="AV62" s="852"/>
      <c r="AW62" s="852"/>
      <c r="AX62" s="853"/>
    </row>
    <row r="63" spans="3:50" ht="18" customHeight="1">
      <c r="C63" s="484"/>
      <c r="D63" s="851"/>
      <c r="E63" s="852"/>
      <c r="F63" s="852"/>
      <c r="G63" s="852"/>
      <c r="H63" s="852"/>
      <c r="I63" s="852"/>
      <c r="J63" s="852"/>
      <c r="K63" s="852"/>
      <c r="L63" s="852"/>
      <c r="M63" s="852"/>
      <c r="N63" s="852"/>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852"/>
      <c r="AP63" s="852"/>
      <c r="AQ63" s="852"/>
      <c r="AR63" s="852"/>
      <c r="AS63" s="852"/>
      <c r="AT63" s="852"/>
      <c r="AU63" s="852"/>
      <c r="AV63" s="852"/>
      <c r="AW63" s="852"/>
      <c r="AX63" s="853"/>
    </row>
    <row r="64" spans="3:50" ht="18" customHeight="1">
      <c r="C64" s="484"/>
      <c r="D64" s="851"/>
      <c r="E64" s="852"/>
      <c r="F64" s="852"/>
      <c r="G64" s="852"/>
      <c r="H64" s="852"/>
      <c r="I64" s="852"/>
      <c r="J64" s="852"/>
      <c r="K64" s="852"/>
      <c r="L64" s="852"/>
      <c r="M64" s="852"/>
      <c r="N64" s="852"/>
      <c r="O64" s="852"/>
      <c r="P64" s="852"/>
      <c r="Q64" s="852"/>
      <c r="R64" s="852"/>
      <c r="S64" s="852"/>
      <c r="T64" s="852"/>
      <c r="U64" s="852"/>
      <c r="V64" s="852"/>
      <c r="W64" s="852"/>
      <c r="X64" s="852"/>
      <c r="Y64" s="852"/>
      <c r="Z64" s="852"/>
      <c r="AA64" s="852"/>
      <c r="AB64" s="852"/>
      <c r="AC64" s="852"/>
      <c r="AD64" s="852"/>
      <c r="AE64" s="852"/>
      <c r="AF64" s="852"/>
      <c r="AG64" s="852"/>
      <c r="AH64" s="852"/>
      <c r="AI64" s="852"/>
      <c r="AJ64" s="852"/>
      <c r="AK64" s="852"/>
      <c r="AL64" s="852"/>
      <c r="AM64" s="852"/>
      <c r="AN64" s="852"/>
      <c r="AO64" s="852"/>
      <c r="AP64" s="852"/>
      <c r="AQ64" s="852"/>
      <c r="AR64" s="852"/>
      <c r="AS64" s="852"/>
      <c r="AT64" s="852"/>
      <c r="AU64" s="852"/>
      <c r="AV64" s="852"/>
      <c r="AW64" s="852"/>
      <c r="AX64" s="853"/>
    </row>
    <row r="65" spans="3:50" ht="18" customHeight="1">
      <c r="C65" s="484"/>
      <c r="D65" s="851"/>
      <c r="E65" s="852"/>
      <c r="F65" s="852"/>
      <c r="G65" s="852"/>
      <c r="H65" s="852"/>
      <c r="I65" s="852"/>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c r="AT65" s="852"/>
      <c r="AU65" s="852"/>
      <c r="AV65" s="852"/>
      <c r="AW65" s="852"/>
      <c r="AX65" s="853"/>
    </row>
    <row r="66" spans="3:50" ht="18" customHeight="1">
      <c r="C66" s="484"/>
      <c r="D66" s="851"/>
      <c r="E66" s="852"/>
      <c r="F66" s="852"/>
      <c r="G66" s="852"/>
      <c r="H66" s="852"/>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2"/>
      <c r="AQ66" s="852"/>
      <c r="AR66" s="852"/>
      <c r="AS66" s="852"/>
      <c r="AT66" s="852"/>
      <c r="AU66" s="852"/>
      <c r="AV66" s="852"/>
      <c r="AW66" s="852"/>
      <c r="AX66" s="853"/>
    </row>
    <row r="67" spans="3:50" ht="18" customHeight="1">
      <c r="C67" s="484"/>
      <c r="D67" s="839"/>
      <c r="E67" s="840"/>
      <c r="F67" s="840"/>
      <c r="G67" s="840"/>
      <c r="H67" s="840"/>
      <c r="I67" s="840"/>
      <c r="J67" s="840"/>
      <c r="K67" s="840"/>
      <c r="L67" s="840"/>
      <c r="M67" s="840"/>
      <c r="N67" s="840"/>
      <c r="O67" s="840"/>
      <c r="P67" s="840"/>
      <c r="Q67" s="840"/>
      <c r="R67" s="840"/>
      <c r="S67" s="840"/>
      <c r="T67" s="840"/>
      <c r="U67" s="840"/>
      <c r="V67" s="840"/>
      <c r="W67" s="840"/>
      <c r="X67" s="840"/>
      <c r="Y67" s="840"/>
      <c r="Z67" s="840"/>
      <c r="AA67" s="840"/>
      <c r="AB67" s="840"/>
      <c r="AC67" s="840"/>
      <c r="AD67" s="840"/>
      <c r="AE67" s="840"/>
      <c r="AF67" s="840"/>
      <c r="AG67" s="840"/>
      <c r="AH67" s="840"/>
      <c r="AI67" s="840"/>
      <c r="AJ67" s="840"/>
      <c r="AK67" s="840"/>
      <c r="AL67" s="840"/>
      <c r="AM67" s="840"/>
      <c r="AN67" s="840"/>
      <c r="AO67" s="840"/>
      <c r="AP67" s="840"/>
      <c r="AQ67" s="840"/>
      <c r="AR67" s="840"/>
      <c r="AS67" s="840"/>
      <c r="AT67" s="840"/>
      <c r="AU67" s="840"/>
      <c r="AV67" s="840"/>
      <c r="AW67" s="840"/>
      <c r="AX67" s="841"/>
    </row>
    <row r="68" spans="3:50" ht="18" customHeight="1">
      <c r="C68" s="484"/>
      <c r="D68" s="851"/>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3"/>
    </row>
    <row r="69" spans="3:50" ht="18" customHeight="1">
      <c r="C69" s="484"/>
      <c r="D69" s="851"/>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c r="AT69" s="852"/>
      <c r="AU69" s="852"/>
      <c r="AV69" s="852"/>
      <c r="AW69" s="852"/>
      <c r="AX69" s="853"/>
    </row>
    <row r="70" spans="3:50" ht="18" customHeight="1">
      <c r="C70" s="484"/>
      <c r="D70" s="851"/>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c r="AT70" s="852"/>
      <c r="AU70" s="852"/>
      <c r="AV70" s="852"/>
      <c r="AW70" s="852"/>
      <c r="AX70" s="853"/>
    </row>
    <row r="71" spans="3:50" ht="18" customHeight="1">
      <c r="C71" s="484"/>
      <c r="D71" s="851"/>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c r="AT71" s="852"/>
      <c r="AU71" s="852"/>
      <c r="AV71" s="852"/>
      <c r="AW71" s="852"/>
      <c r="AX71" s="853"/>
    </row>
    <row r="72" spans="3:50" ht="18" customHeight="1">
      <c r="C72" s="484"/>
      <c r="D72" s="851"/>
      <c r="E72" s="852"/>
      <c r="F72" s="852"/>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3"/>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sheet="1" formatCells="0" formatColumns="0" formatRows="0" insertColumns="0" insertRows="0" insertHyperlink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D3" sqref="D3"/>
    </sheetView>
  </sheetViews>
  <sheetFormatPr defaultColWidth="12" defaultRowHeight="12.75"/>
  <cols>
    <col min="1" max="1" width="3.66015625" style="211" hidden="1" customWidth="1"/>
    <col min="2" max="2" width="4.660156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242</v>
      </c>
      <c r="C3" s="299" t="s">
        <v>296</v>
      </c>
      <c r="D3" s="29" t="s">
        <v>370</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48" t="s">
        <v>124</v>
      </c>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c r="AN5" s="848"/>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c r="AE8" s="528"/>
      <c r="AF8" s="516"/>
      <c r="AG8" s="528"/>
      <c r="AH8" s="516"/>
      <c r="AI8" s="528"/>
      <c r="AJ8" s="516"/>
      <c r="AK8" s="528"/>
      <c r="AL8" s="516"/>
      <c r="AM8" s="528"/>
      <c r="AN8" s="516"/>
      <c r="AO8" s="528"/>
      <c r="AP8" s="516"/>
      <c r="AQ8" s="528"/>
      <c r="AR8" s="516"/>
      <c r="AS8" s="528"/>
      <c r="AT8" s="516"/>
      <c r="AU8" s="528"/>
      <c r="AV8" s="516"/>
      <c r="AW8" s="528"/>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c r="AE9" s="528"/>
      <c r="AF9" s="516"/>
      <c r="AG9" s="528"/>
      <c r="AH9" s="516"/>
      <c r="AI9" s="528"/>
      <c r="AJ9" s="516"/>
      <c r="AK9" s="528"/>
      <c r="AL9" s="516"/>
      <c r="AM9" s="528"/>
      <c r="AN9" s="516"/>
      <c r="AO9" s="528"/>
      <c r="AP9" s="516"/>
      <c r="AQ9" s="528"/>
      <c r="AR9" s="516"/>
      <c r="AS9" s="528"/>
      <c r="AT9" s="516"/>
      <c r="AU9" s="528"/>
      <c r="AV9" s="516"/>
      <c r="AW9" s="528"/>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c r="AE10" s="525"/>
      <c r="AF10" s="514"/>
      <c r="AG10" s="525"/>
      <c r="AH10" s="514"/>
      <c r="AI10" s="525"/>
      <c r="AJ10" s="514"/>
      <c r="AK10" s="525"/>
      <c r="AL10" s="514"/>
      <c r="AM10" s="525"/>
      <c r="AN10" s="514"/>
      <c r="AO10" s="525"/>
      <c r="AP10" s="514"/>
      <c r="AQ10" s="525"/>
      <c r="AR10" s="514"/>
      <c r="AS10" s="525"/>
      <c r="AT10" s="514"/>
      <c r="AU10" s="525"/>
      <c r="AV10" s="514"/>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c r="I11" s="525"/>
      <c r="J11" s="514"/>
      <c r="K11" s="525"/>
      <c r="L11" s="514"/>
      <c r="M11" s="525"/>
      <c r="N11" s="514"/>
      <c r="O11" s="525"/>
      <c r="P11" s="514"/>
      <c r="Q11" s="525"/>
      <c r="R11" s="514"/>
      <c r="S11" s="525"/>
      <c r="T11" s="514"/>
      <c r="U11" s="525"/>
      <c r="V11" s="514"/>
      <c r="W11" s="525"/>
      <c r="X11" s="514"/>
      <c r="Y11" s="525"/>
      <c r="Z11" s="514"/>
      <c r="AA11" s="525"/>
      <c r="AB11" s="514"/>
      <c r="AC11" s="525"/>
      <c r="AD11" s="514"/>
      <c r="AE11" s="525"/>
      <c r="AF11" s="514"/>
      <c r="AG11" s="525"/>
      <c r="AH11" s="514"/>
      <c r="AI11" s="525"/>
      <c r="AJ11" s="514"/>
      <c r="AK11" s="525"/>
      <c r="AL11" s="514"/>
      <c r="AM11" s="525"/>
      <c r="AN11" s="514"/>
      <c r="AO11" s="525"/>
      <c r="AP11" s="514"/>
      <c r="AQ11" s="525"/>
      <c r="AR11" s="514"/>
      <c r="AS11" s="525"/>
      <c r="AT11" s="514"/>
      <c r="AU11" s="525"/>
      <c r="AV11" s="514"/>
      <c r="AW11" s="525"/>
      <c r="AY11" s="81">
        <v>4</v>
      </c>
      <c r="AZ11" s="233" t="s">
        <v>2</v>
      </c>
      <c r="BA11" s="96" t="s">
        <v>262</v>
      </c>
      <c r="BB11" s="81" t="s">
        <v>82</v>
      </c>
      <c r="BC11" s="544"/>
      <c r="BD11" s="79" t="str">
        <f>IF(OR(ISBLANK(F11),ISBLANK(H11)),"N/A",IF(ABS(H11-F11)&gt;0.25,"&gt; 25%","ok"))</f>
        <v>N/A</v>
      </c>
      <c r="BE11" s="54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c r="AE12" s="531"/>
      <c r="AF12" s="518"/>
      <c r="AG12" s="531"/>
      <c r="AH12" s="518"/>
      <c r="AI12" s="531"/>
      <c r="AJ12" s="518"/>
      <c r="AK12" s="531"/>
      <c r="AL12" s="518"/>
      <c r="AM12" s="531"/>
      <c r="AN12" s="518"/>
      <c r="AO12" s="531"/>
      <c r="AP12" s="518"/>
      <c r="AQ12" s="531"/>
      <c r="AR12" s="518"/>
      <c r="AS12" s="531"/>
      <c r="AT12" s="518"/>
      <c r="AU12" s="531"/>
      <c r="AV12" s="518"/>
      <c r="AW12" s="531"/>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38" t="s">
        <v>143</v>
      </c>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838"/>
      <c r="AL15" s="838"/>
      <c r="AM15" s="838"/>
      <c r="AN15" s="838"/>
      <c r="AO15" s="838"/>
      <c r="AP15" s="838"/>
      <c r="AQ15" s="838"/>
      <c r="AR15" s="838"/>
      <c r="AS15" s="838"/>
      <c r="AT15" s="838"/>
      <c r="AU15" s="838"/>
      <c r="AV15" s="838"/>
      <c r="AW15" s="838"/>
      <c r="AX15" s="838"/>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2.5">
      <c r="A16" s="636"/>
      <c r="B16" s="636"/>
      <c r="C16" s="245" t="s">
        <v>142</v>
      </c>
      <c r="D16" s="842" t="s">
        <v>110</v>
      </c>
      <c r="E16" s="842"/>
      <c r="F16" s="842"/>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842"/>
      <c r="AN16" s="842"/>
      <c r="AO16" s="842"/>
      <c r="AP16" s="842"/>
      <c r="AQ16" s="842"/>
      <c r="AR16" s="842"/>
      <c r="AS16" s="842"/>
      <c r="AT16" s="842"/>
      <c r="AU16" s="842"/>
      <c r="AV16" s="842"/>
      <c r="AW16" s="842"/>
      <c r="AX16" s="842"/>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43"/>
      <c r="CF16" s="96">
        <f>AJ8</f>
        <v>0</v>
      </c>
      <c r="CG16" s="96"/>
      <c r="CH16" s="96">
        <f>AL8</f>
        <v>0</v>
      </c>
      <c r="CI16" s="96"/>
      <c r="CJ16" s="96">
        <f>AN8</f>
        <v>0</v>
      </c>
      <c r="CK16" s="96"/>
      <c r="CL16" s="96">
        <f>AP8</f>
        <v>0</v>
      </c>
      <c r="CM16" s="543"/>
      <c r="CN16" s="96">
        <f>AR8</f>
        <v>0</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57"/>
      <c r="E17" s="857"/>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43"/>
      <c r="CF17" s="96">
        <f>AJ9</f>
        <v>0</v>
      </c>
      <c r="CG17" s="96"/>
      <c r="CH17" s="96">
        <f>AL9</f>
        <v>0</v>
      </c>
      <c r="CI17" s="96"/>
      <c r="CJ17" s="96">
        <f>AN9</f>
        <v>0</v>
      </c>
      <c r="CK17" s="96"/>
      <c r="CL17" s="96">
        <f>AP9</f>
        <v>0</v>
      </c>
      <c r="CM17" s="543"/>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43"/>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43"/>
      <c r="CN18" s="96" t="str">
        <f>IF(OR(ISBLANK(AR8),ISBLANK(AR9)),"N/A",IF(CN16&gt;=CN17,"ok","&lt;&gt;"))</f>
        <v>N/A</v>
      </c>
      <c r="CO18" s="96"/>
      <c r="CP18" s="96" t="str">
        <f>IF(OR(ISBLANK(AT8),ISBLANK(AT9)),"N/A",IF(CP16&gt;=CP17,"ok","&lt;&gt;"))</f>
        <v>N/A</v>
      </c>
      <c r="CQ18" s="96"/>
      <c r="CR18" s="96" t="str">
        <f>IF(OR(ISBLANK(AV8),ISBLANK(AV9)),"N/A",IF(CR16&gt;=CR17,"ok","&lt;&gt;"))</f>
        <v>N/A</v>
      </c>
      <c r="CS18" s="96"/>
    </row>
    <row r="19" spans="1:97" s="381" customFormat="1" ht="22.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0</v>
      </c>
      <c r="CI19" s="96"/>
      <c r="CJ19" s="96">
        <f>AN10</f>
        <v>0</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84"/>
      <c r="D22" s="839"/>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40"/>
      <c r="AR22" s="840"/>
      <c r="AS22" s="840"/>
      <c r="AT22" s="840"/>
      <c r="AU22" s="840"/>
      <c r="AV22" s="840"/>
      <c r="AW22" s="840"/>
      <c r="AX22" s="841"/>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43"/>
      <c r="CF22" s="96">
        <f>AJ12</f>
        <v>0</v>
      </c>
      <c r="CG22" s="96"/>
      <c r="CH22" s="96">
        <f>AL12</f>
        <v>0</v>
      </c>
      <c r="CI22" s="96"/>
      <c r="CJ22" s="96">
        <f>AN12</f>
        <v>0</v>
      </c>
      <c r="CK22" s="96"/>
      <c r="CL22" s="96">
        <f>AP12</f>
        <v>0</v>
      </c>
      <c r="CM22" s="543"/>
      <c r="CN22" s="96">
        <f>AR12</f>
        <v>0</v>
      </c>
      <c r="CO22" s="96"/>
      <c r="CP22" s="96">
        <f>AT12</f>
        <v>0</v>
      </c>
      <c r="CQ22" s="96"/>
      <c r="CR22" s="96">
        <f>AV12</f>
        <v>0</v>
      </c>
      <c r="CS22" s="96"/>
    </row>
    <row r="23" spans="3:97" ht="18" customHeight="1">
      <c r="C23" s="484"/>
      <c r="D23" s="851"/>
      <c r="E23" s="852"/>
      <c r="F23" s="852"/>
      <c r="G23" s="852"/>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2"/>
      <c r="AH23" s="852"/>
      <c r="AI23" s="852"/>
      <c r="AJ23" s="852"/>
      <c r="AK23" s="852"/>
      <c r="AL23" s="852"/>
      <c r="AM23" s="852"/>
      <c r="AN23" s="852"/>
      <c r="AO23" s="852"/>
      <c r="AP23" s="852"/>
      <c r="AQ23" s="852"/>
      <c r="AR23" s="852"/>
      <c r="AS23" s="852"/>
      <c r="AT23" s="852"/>
      <c r="AU23" s="852"/>
      <c r="AV23" s="852"/>
      <c r="AW23" s="852"/>
      <c r="AX23" s="853"/>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4"/>
      <c r="D24" s="851"/>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3"/>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51"/>
      <c r="E25" s="852"/>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3"/>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51"/>
      <c r="E26" s="852"/>
      <c r="F26" s="852"/>
      <c r="G26" s="852"/>
      <c r="H26" s="852"/>
      <c r="I26" s="852"/>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2"/>
      <c r="AG26" s="852"/>
      <c r="AH26" s="852"/>
      <c r="AI26" s="852"/>
      <c r="AJ26" s="852"/>
      <c r="AK26" s="852"/>
      <c r="AL26" s="852"/>
      <c r="AM26" s="852"/>
      <c r="AN26" s="852"/>
      <c r="AO26" s="852"/>
      <c r="AP26" s="852"/>
      <c r="AQ26" s="852"/>
      <c r="AR26" s="852"/>
      <c r="AS26" s="852"/>
      <c r="AT26" s="852"/>
      <c r="AU26" s="852"/>
      <c r="AV26" s="852"/>
      <c r="AW26" s="852"/>
      <c r="AX26" s="853"/>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51"/>
      <c r="E27" s="852"/>
      <c r="F27" s="852"/>
      <c r="G27" s="852"/>
      <c r="H27" s="852"/>
      <c r="I27" s="852"/>
      <c r="J27" s="852"/>
      <c r="K27" s="852"/>
      <c r="L27" s="852"/>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2"/>
      <c r="AL27" s="852"/>
      <c r="AM27" s="852"/>
      <c r="AN27" s="852"/>
      <c r="AO27" s="852"/>
      <c r="AP27" s="852"/>
      <c r="AQ27" s="852"/>
      <c r="AR27" s="852"/>
      <c r="AS27" s="852"/>
      <c r="AT27" s="852"/>
      <c r="AU27" s="852"/>
      <c r="AV27" s="852"/>
      <c r="AW27" s="852"/>
      <c r="AX27" s="853"/>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51"/>
      <c r="E28" s="852"/>
      <c r="F28" s="852"/>
      <c r="G28" s="852"/>
      <c r="H28" s="852"/>
      <c r="I28" s="852"/>
      <c r="J28" s="852"/>
      <c r="K28" s="852"/>
      <c r="L28" s="852"/>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2"/>
      <c r="AL28" s="852"/>
      <c r="AM28" s="852"/>
      <c r="AN28" s="852"/>
      <c r="AO28" s="852"/>
      <c r="AP28" s="852"/>
      <c r="AQ28" s="852"/>
      <c r="AR28" s="852"/>
      <c r="AS28" s="852"/>
      <c r="AT28" s="852"/>
      <c r="AU28" s="852"/>
      <c r="AV28" s="852"/>
      <c r="AW28" s="852"/>
      <c r="AX28" s="853"/>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51"/>
      <c r="E29" s="852"/>
      <c r="F29" s="852"/>
      <c r="G29" s="852"/>
      <c r="H29" s="852"/>
      <c r="I29" s="852"/>
      <c r="J29" s="852"/>
      <c r="K29" s="852"/>
      <c r="L29" s="852"/>
      <c r="M29" s="852"/>
      <c r="N29" s="852"/>
      <c r="O29" s="852"/>
      <c r="P29" s="852"/>
      <c r="Q29" s="852"/>
      <c r="R29" s="852"/>
      <c r="S29" s="852"/>
      <c r="T29" s="852"/>
      <c r="U29" s="852"/>
      <c r="V29" s="852"/>
      <c r="W29" s="852"/>
      <c r="X29" s="852"/>
      <c r="Y29" s="852"/>
      <c r="Z29" s="852"/>
      <c r="AA29" s="852"/>
      <c r="AB29" s="852"/>
      <c r="AC29" s="852"/>
      <c r="AD29" s="852"/>
      <c r="AE29" s="852"/>
      <c r="AF29" s="852"/>
      <c r="AG29" s="852"/>
      <c r="AH29" s="852"/>
      <c r="AI29" s="852"/>
      <c r="AJ29" s="852"/>
      <c r="AK29" s="852"/>
      <c r="AL29" s="852"/>
      <c r="AM29" s="852"/>
      <c r="AN29" s="852"/>
      <c r="AO29" s="852"/>
      <c r="AP29" s="852"/>
      <c r="AQ29" s="852"/>
      <c r="AR29" s="852"/>
      <c r="AS29" s="852"/>
      <c r="AT29" s="852"/>
      <c r="AU29" s="852"/>
      <c r="AV29" s="852"/>
      <c r="AW29" s="852"/>
      <c r="AX29" s="853"/>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51"/>
      <c r="E30" s="852"/>
      <c r="F30" s="852"/>
      <c r="G30" s="852"/>
      <c r="H30" s="852"/>
      <c r="I30" s="852"/>
      <c r="J30" s="852"/>
      <c r="K30" s="852"/>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c r="AI30" s="852"/>
      <c r="AJ30" s="852"/>
      <c r="AK30" s="852"/>
      <c r="AL30" s="852"/>
      <c r="AM30" s="852"/>
      <c r="AN30" s="852"/>
      <c r="AO30" s="852"/>
      <c r="AP30" s="852"/>
      <c r="AQ30" s="852"/>
      <c r="AR30" s="852"/>
      <c r="AS30" s="852"/>
      <c r="AT30" s="852"/>
      <c r="AU30" s="852"/>
      <c r="AV30" s="852"/>
      <c r="AW30" s="852"/>
      <c r="AX30" s="853"/>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51"/>
      <c r="E31" s="852"/>
      <c r="F31" s="852"/>
      <c r="G31" s="852"/>
      <c r="H31" s="852"/>
      <c r="I31" s="852"/>
      <c r="J31" s="852"/>
      <c r="K31" s="852"/>
      <c r="L31" s="852"/>
      <c r="M31" s="852"/>
      <c r="N31" s="852"/>
      <c r="O31" s="852"/>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2"/>
      <c r="AW31" s="852"/>
      <c r="AX31" s="853"/>
      <c r="AZ31" s="280"/>
    </row>
    <row r="32" spans="3:50" ht="18" customHeight="1">
      <c r="C32" s="484"/>
      <c r="D32" s="851"/>
      <c r="E32" s="852"/>
      <c r="F32" s="852"/>
      <c r="G32" s="852"/>
      <c r="H32" s="852"/>
      <c r="I32" s="852"/>
      <c r="J32" s="852"/>
      <c r="K32" s="852"/>
      <c r="L32" s="852"/>
      <c r="M32" s="852"/>
      <c r="N32" s="852"/>
      <c r="O32" s="852"/>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2"/>
      <c r="AW32" s="852"/>
      <c r="AX32" s="853"/>
    </row>
    <row r="33" spans="3:50" ht="18" customHeight="1">
      <c r="C33" s="484"/>
      <c r="D33" s="851"/>
      <c r="E33" s="852"/>
      <c r="F33" s="852"/>
      <c r="G33" s="852"/>
      <c r="H33" s="852"/>
      <c r="I33" s="852"/>
      <c r="J33" s="852"/>
      <c r="K33" s="852"/>
      <c r="L33" s="852"/>
      <c r="M33" s="852"/>
      <c r="N33" s="852"/>
      <c r="O33" s="852"/>
      <c r="P33" s="852"/>
      <c r="Q33" s="852"/>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852"/>
      <c r="AP33" s="852"/>
      <c r="AQ33" s="852"/>
      <c r="AR33" s="852"/>
      <c r="AS33" s="852"/>
      <c r="AT33" s="852"/>
      <c r="AU33" s="852"/>
      <c r="AV33" s="852"/>
      <c r="AW33" s="852"/>
      <c r="AX33" s="853"/>
    </row>
    <row r="34" spans="3:50" ht="18" customHeight="1">
      <c r="C34" s="484"/>
      <c r="D34" s="851"/>
      <c r="E34" s="852"/>
      <c r="F34" s="852"/>
      <c r="G34" s="852"/>
      <c r="H34" s="852"/>
      <c r="I34" s="852"/>
      <c r="J34" s="852"/>
      <c r="K34" s="852"/>
      <c r="L34" s="852"/>
      <c r="M34" s="852"/>
      <c r="N34" s="852"/>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852"/>
      <c r="AP34" s="852"/>
      <c r="AQ34" s="852"/>
      <c r="AR34" s="852"/>
      <c r="AS34" s="852"/>
      <c r="AT34" s="852"/>
      <c r="AU34" s="852"/>
      <c r="AV34" s="852"/>
      <c r="AW34" s="852"/>
      <c r="AX34" s="853"/>
    </row>
    <row r="35" spans="3:50" ht="18" customHeight="1">
      <c r="C35" s="484"/>
      <c r="D35" s="851"/>
      <c r="E35" s="852"/>
      <c r="F35" s="852"/>
      <c r="G35" s="852"/>
      <c r="H35" s="852"/>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2"/>
      <c r="AQ35" s="852"/>
      <c r="AR35" s="852"/>
      <c r="AS35" s="852"/>
      <c r="AT35" s="852"/>
      <c r="AU35" s="852"/>
      <c r="AV35" s="852"/>
      <c r="AW35" s="852"/>
      <c r="AX35" s="853"/>
    </row>
    <row r="36" spans="3:50" ht="18" customHeight="1">
      <c r="C36" s="484"/>
      <c r="D36" s="851"/>
      <c r="E36" s="852"/>
      <c r="F36" s="852"/>
      <c r="G36" s="852"/>
      <c r="H36" s="852"/>
      <c r="I36" s="852"/>
      <c r="J36" s="852"/>
      <c r="K36" s="852"/>
      <c r="L36" s="852"/>
      <c r="M36" s="852"/>
      <c r="N36" s="852"/>
      <c r="O36" s="852"/>
      <c r="P36" s="852"/>
      <c r="Q36" s="852"/>
      <c r="R36" s="852"/>
      <c r="S36" s="852"/>
      <c r="T36" s="852"/>
      <c r="U36" s="852"/>
      <c r="V36" s="852"/>
      <c r="W36" s="852"/>
      <c r="X36" s="852"/>
      <c r="Y36" s="852"/>
      <c r="Z36" s="852"/>
      <c r="AA36" s="852"/>
      <c r="AB36" s="852"/>
      <c r="AC36" s="852"/>
      <c r="AD36" s="852"/>
      <c r="AE36" s="852"/>
      <c r="AF36" s="852"/>
      <c r="AG36" s="852"/>
      <c r="AH36" s="852"/>
      <c r="AI36" s="852"/>
      <c r="AJ36" s="852"/>
      <c r="AK36" s="852"/>
      <c r="AL36" s="852"/>
      <c r="AM36" s="852"/>
      <c r="AN36" s="852"/>
      <c r="AO36" s="852"/>
      <c r="AP36" s="852"/>
      <c r="AQ36" s="852"/>
      <c r="AR36" s="852"/>
      <c r="AS36" s="852"/>
      <c r="AT36" s="852"/>
      <c r="AU36" s="852"/>
      <c r="AV36" s="852"/>
      <c r="AW36" s="852"/>
      <c r="AX36" s="853"/>
    </row>
    <row r="37" spans="3:50" ht="18" customHeight="1">
      <c r="C37" s="484"/>
      <c r="D37" s="851"/>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c r="AT37" s="852"/>
      <c r="AU37" s="852"/>
      <c r="AV37" s="852"/>
      <c r="AW37" s="852"/>
      <c r="AX37" s="853"/>
    </row>
    <row r="38" spans="3:50" ht="18" customHeight="1">
      <c r="C38" s="484"/>
      <c r="D38" s="851"/>
      <c r="E38" s="852"/>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852"/>
      <c r="AO38" s="852"/>
      <c r="AP38" s="852"/>
      <c r="AQ38" s="852"/>
      <c r="AR38" s="852"/>
      <c r="AS38" s="852"/>
      <c r="AT38" s="852"/>
      <c r="AU38" s="852"/>
      <c r="AV38" s="852"/>
      <c r="AW38" s="852"/>
      <c r="AX38" s="853"/>
    </row>
    <row r="39" spans="3:50" ht="18" customHeight="1">
      <c r="C39" s="484"/>
      <c r="D39" s="851"/>
      <c r="E39" s="852"/>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852"/>
      <c r="AL39" s="852"/>
      <c r="AM39" s="852"/>
      <c r="AN39" s="852"/>
      <c r="AO39" s="852"/>
      <c r="AP39" s="852"/>
      <c r="AQ39" s="852"/>
      <c r="AR39" s="852"/>
      <c r="AS39" s="852"/>
      <c r="AT39" s="852"/>
      <c r="AU39" s="852"/>
      <c r="AV39" s="852"/>
      <c r="AW39" s="852"/>
      <c r="AX39" s="853"/>
    </row>
    <row r="40" spans="3:50" ht="18" customHeight="1">
      <c r="C40" s="484"/>
      <c r="D40" s="851"/>
      <c r="E40" s="852"/>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c r="AJ40" s="852"/>
      <c r="AK40" s="852"/>
      <c r="AL40" s="852"/>
      <c r="AM40" s="852"/>
      <c r="AN40" s="852"/>
      <c r="AO40" s="852"/>
      <c r="AP40" s="852"/>
      <c r="AQ40" s="852"/>
      <c r="AR40" s="852"/>
      <c r="AS40" s="852"/>
      <c r="AT40" s="852"/>
      <c r="AU40" s="852"/>
      <c r="AV40" s="852"/>
      <c r="AW40" s="852"/>
      <c r="AX40" s="853"/>
    </row>
    <row r="41" spans="3:50" ht="18" customHeight="1">
      <c r="C41" s="484"/>
      <c r="D41" s="851"/>
      <c r="E41" s="852"/>
      <c r="F41" s="852"/>
      <c r="G41" s="852"/>
      <c r="H41" s="852"/>
      <c r="I41" s="852"/>
      <c r="J41" s="852"/>
      <c r="K41" s="852"/>
      <c r="L41" s="852"/>
      <c r="M41" s="852"/>
      <c r="N41" s="852"/>
      <c r="O41" s="852"/>
      <c r="P41" s="852"/>
      <c r="Q41" s="852"/>
      <c r="R41" s="852"/>
      <c r="S41" s="852"/>
      <c r="T41" s="852"/>
      <c r="U41" s="852"/>
      <c r="V41" s="852"/>
      <c r="W41" s="852"/>
      <c r="X41" s="852"/>
      <c r="Y41" s="852"/>
      <c r="Z41" s="852"/>
      <c r="AA41" s="852"/>
      <c r="AB41" s="852"/>
      <c r="AC41" s="852"/>
      <c r="AD41" s="852"/>
      <c r="AE41" s="852"/>
      <c r="AF41" s="852"/>
      <c r="AG41" s="852"/>
      <c r="AH41" s="852"/>
      <c r="AI41" s="852"/>
      <c r="AJ41" s="852"/>
      <c r="AK41" s="852"/>
      <c r="AL41" s="852"/>
      <c r="AM41" s="852"/>
      <c r="AN41" s="852"/>
      <c r="AO41" s="852"/>
      <c r="AP41" s="852"/>
      <c r="AQ41" s="852"/>
      <c r="AR41" s="852"/>
      <c r="AS41" s="852"/>
      <c r="AT41" s="852"/>
      <c r="AU41" s="852"/>
      <c r="AV41" s="852"/>
      <c r="AW41" s="852"/>
      <c r="AX41" s="853"/>
    </row>
    <row r="42" spans="3:50" ht="18" customHeight="1">
      <c r="C42" s="521"/>
      <c r="D42" s="851"/>
      <c r="E42" s="852"/>
      <c r="F42" s="852"/>
      <c r="G42" s="852"/>
      <c r="H42" s="852"/>
      <c r="I42" s="852"/>
      <c r="J42" s="852"/>
      <c r="K42" s="852"/>
      <c r="L42" s="852"/>
      <c r="M42" s="852"/>
      <c r="N42" s="852"/>
      <c r="O42" s="852"/>
      <c r="P42" s="852"/>
      <c r="Q42" s="852"/>
      <c r="R42" s="852"/>
      <c r="S42" s="852"/>
      <c r="T42" s="852"/>
      <c r="U42" s="852"/>
      <c r="V42" s="852"/>
      <c r="W42" s="852"/>
      <c r="X42" s="852"/>
      <c r="Y42" s="852"/>
      <c r="Z42" s="852"/>
      <c r="AA42" s="852"/>
      <c r="AB42" s="852"/>
      <c r="AC42" s="852"/>
      <c r="AD42" s="852"/>
      <c r="AE42" s="852"/>
      <c r="AF42" s="852"/>
      <c r="AG42" s="852"/>
      <c r="AH42" s="852"/>
      <c r="AI42" s="852"/>
      <c r="AJ42" s="852"/>
      <c r="AK42" s="852"/>
      <c r="AL42" s="852"/>
      <c r="AM42" s="852"/>
      <c r="AN42" s="852"/>
      <c r="AO42" s="852"/>
      <c r="AP42" s="852"/>
      <c r="AQ42" s="852"/>
      <c r="AR42" s="852"/>
      <c r="AS42" s="852"/>
      <c r="AT42" s="852"/>
      <c r="AU42" s="852"/>
      <c r="AV42" s="852"/>
      <c r="AW42" s="852"/>
      <c r="AX42" s="853"/>
    </row>
    <row r="43" spans="3:50" ht="18" customHeight="1">
      <c r="C43" s="519"/>
      <c r="D43" s="861"/>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3"/>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2023-05-09T20:06:09Z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